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195" activeTab="6"/>
  </bookViews>
  <sheets>
    <sheet name="Лист1" sheetId="1" r:id="rId1"/>
    <sheet name="январь23" sheetId="2" state="hidden" r:id="rId2"/>
    <sheet name="февраль23" sheetId="3" state="hidden" r:id="rId3"/>
    <sheet name="март23" sheetId="4" state="hidden" r:id="rId4"/>
    <sheet name="січень 2025" sheetId="25" r:id="rId5"/>
    <sheet name="лютий2025" sheetId="26" r:id="rId6"/>
    <sheet name="березень2025" sheetId="27" r:id="rId7"/>
    <sheet name="квітень 2025" sheetId="28" r:id="rId8"/>
    <sheet name="травень 2025" sheetId="29" r:id="rId9"/>
    <sheet name="червень 2025" sheetId="30" r:id="rId10"/>
    <sheet name="липень2025" sheetId="31" r:id="rId11"/>
    <sheet name="серпень2025" sheetId="32" r:id="rId12"/>
    <sheet name="вересень2025" sheetId="33" r:id="rId13"/>
    <sheet name="жовтень 2025" sheetId="3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calcPr calcId="125725"/>
</workbook>
</file>

<file path=xl/calcChain.xml><?xml version="1.0" encoding="utf-8"?>
<calcChain xmlns="http://schemas.openxmlformats.org/spreadsheetml/2006/main">
  <c r="AT69" i="34"/>
  <c r="AT74" s="1"/>
  <c r="AS69"/>
  <c r="AS74" s="1"/>
  <c r="HK8" i="1" s="1"/>
  <c r="AT35" i="34"/>
  <c r="AT71" s="1"/>
  <c r="AS35"/>
  <c r="AS71" s="1"/>
  <c r="HK5" i="1" s="1"/>
  <c r="AT21" i="34"/>
  <c r="AT72" s="1"/>
  <c r="AS21"/>
  <c r="AS72" s="1"/>
  <c r="HK6" i="1" s="1"/>
  <c r="AT17" i="34"/>
  <c r="AS17"/>
  <c r="AT14"/>
  <c r="AS14"/>
  <c r="AT9"/>
  <c r="AT70" s="1"/>
  <c r="AS9"/>
  <c r="AS70" s="1"/>
  <c r="HK7" i="1"/>
  <c r="HK9"/>
  <c r="AR69" i="34"/>
  <c r="AR74" s="1"/>
  <c r="AQ69"/>
  <c r="AQ74" s="1"/>
  <c r="HJ8" i="1" s="1"/>
  <c r="AR35" i="34"/>
  <c r="AR71" s="1"/>
  <c r="AQ35"/>
  <c r="AQ71" s="1"/>
  <c r="HJ5" i="1" s="1"/>
  <c r="AR21" i="34"/>
  <c r="AR72" s="1"/>
  <c r="AQ21"/>
  <c r="AQ72" s="1"/>
  <c r="HJ6" i="1" s="1"/>
  <c r="AR17" i="34"/>
  <c r="AQ17"/>
  <c r="AR14"/>
  <c r="AQ14"/>
  <c r="AR9"/>
  <c r="AR70" s="1"/>
  <c r="AQ9"/>
  <c r="AQ70" s="1"/>
  <c r="HJ7" i="1"/>
  <c r="HJ9"/>
  <c r="HI7"/>
  <c r="AT75" i="34" l="1"/>
  <c r="AS75"/>
  <c r="HK4" i="1"/>
  <c r="HK3" s="1"/>
  <c r="HK15" s="1"/>
  <c r="HK17" s="1"/>
  <c r="AQ75" i="34"/>
  <c r="HJ4" i="1"/>
  <c r="HJ3" s="1"/>
  <c r="HJ15" s="1"/>
  <c r="HJ17" s="1"/>
  <c r="AR75" i="34"/>
  <c r="AP69" l="1"/>
  <c r="AP74" s="1"/>
  <c r="AO69"/>
  <c r="AO74" s="1"/>
  <c r="HI8" i="1" s="1"/>
  <c r="AP35" i="34"/>
  <c r="AP71" s="1"/>
  <c r="AO35"/>
  <c r="AO71" s="1"/>
  <c r="HI5" i="1" s="1"/>
  <c r="AP21" i="34"/>
  <c r="AP72" s="1"/>
  <c r="AO21"/>
  <c r="AO72" s="1"/>
  <c r="HI6" i="1" s="1"/>
  <c r="AP17" i="34"/>
  <c r="AO17"/>
  <c r="AP14"/>
  <c r="AO14"/>
  <c r="AP9"/>
  <c r="AO9"/>
  <c r="HI9" i="1"/>
  <c r="AN69" i="34"/>
  <c r="AN74" s="1"/>
  <c r="AM69"/>
  <c r="AM74" s="1"/>
  <c r="HH8" i="1" s="1"/>
  <c r="AN35" i="34"/>
  <c r="AN71" s="1"/>
  <c r="AM35"/>
  <c r="AM71" s="1"/>
  <c r="HH5" i="1" s="1"/>
  <c r="AN21" i="34"/>
  <c r="AN72" s="1"/>
  <c r="AM21"/>
  <c r="AM72" s="1"/>
  <c r="HH6" i="1" s="1"/>
  <c r="AN17" i="34"/>
  <c r="AM17"/>
  <c r="AN14"/>
  <c r="AM14"/>
  <c r="AN9"/>
  <c r="AN70" s="1"/>
  <c r="AM9"/>
  <c r="AM70" s="1"/>
  <c r="HH7" i="1"/>
  <c r="HH9"/>
  <c r="AL35" i="34"/>
  <c r="AL71" s="1"/>
  <c r="AL69"/>
  <c r="AL74" s="1"/>
  <c r="AK69"/>
  <c r="AK74" s="1"/>
  <c r="AK35"/>
  <c r="AK71" s="1"/>
  <c r="AL21"/>
  <c r="AL72" s="1"/>
  <c r="AK21"/>
  <c r="AK72" s="1"/>
  <c r="AL17"/>
  <c r="AK17"/>
  <c r="AL14"/>
  <c r="AK14"/>
  <c r="AL9"/>
  <c r="AL70" s="1"/>
  <c r="AK9"/>
  <c r="AK70" s="1"/>
  <c r="AP70" l="1"/>
  <c r="AO70"/>
  <c r="HI4" i="1" s="1"/>
  <c r="HI3" s="1"/>
  <c r="HI15" s="1"/>
  <c r="HI17" s="1"/>
  <c r="AN75" i="34"/>
  <c r="AM75"/>
  <c r="HH4" i="1"/>
  <c r="HH3" s="1"/>
  <c r="HH15" s="1"/>
  <c r="HH17" s="1"/>
  <c r="AK75" i="34"/>
  <c r="AL75"/>
  <c r="AO75" l="1"/>
  <c r="AP75"/>
  <c r="HG4" i="1"/>
  <c r="HG5"/>
  <c r="HG6"/>
  <c r="HG7"/>
  <c r="HG8"/>
  <c r="HG9"/>
  <c r="HG3" l="1"/>
  <c r="HG15" s="1"/>
  <c r="HG17" s="1"/>
  <c r="HF7" l="1"/>
  <c r="HF9"/>
  <c r="AJ69" i="34" l="1"/>
  <c r="AJ74" s="1"/>
  <c r="AI69"/>
  <c r="AI74" s="1"/>
  <c r="HF8" i="1" s="1"/>
  <c r="AJ35" i="34"/>
  <c r="AJ71" s="1"/>
  <c r="AI35"/>
  <c r="AI71" s="1"/>
  <c r="HF5" i="1" s="1"/>
  <c r="AJ21" i="34"/>
  <c r="AJ72" s="1"/>
  <c r="AI21"/>
  <c r="AI72" s="1"/>
  <c r="HF6" i="1" s="1"/>
  <c r="AJ17" i="34"/>
  <c r="AI17"/>
  <c r="AJ14"/>
  <c r="AI14"/>
  <c r="AJ9"/>
  <c r="AJ70" s="1"/>
  <c r="AI9"/>
  <c r="AI70" s="1"/>
  <c r="HF4" i="1" s="1"/>
  <c r="HF3" s="1"/>
  <c r="HF15" s="1"/>
  <c r="HF17" s="1"/>
  <c r="HE7"/>
  <c r="HE9"/>
  <c r="AI75" i="34" l="1"/>
  <c r="AJ75"/>
  <c r="AH69" l="1"/>
  <c r="AH74" s="1"/>
  <c r="AG69"/>
  <c r="AG74" s="1"/>
  <c r="HE8" i="1" s="1"/>
  <c r="AH35" i="34"/>
  <c r="AH71" s="1"/>
  <c r="AG35"/>
  <c r="AG71" s="1"/>
  <c r="HE5" i="1" s="1"/>
  <c r="AH21" i="34"/>
  <c r="AH72" s="1"/>
  <c r="AG21"/>
  <c r="AG72" s="1"/>
  <c r="HE6" i="1" s="1"/>
  <c r="AH17" i="34"/>
  <c r="AG17"/>
  <c r="AH14"/>
  <c r="AG14"/>
  <c r="AH9"/>
  <c r="AH70" s="1"/>
  <c r="AG9"/>
  <c r="AG70" s="1"/>
  <c r="HE4" i="1" s="1"/>
  <c r="HE3" s="1"/>
  <c r="HE15" s="1"/>
  <c r="HE17" s="1"/>
  <c r="AE69" i="34"/>
  <c r="AE74" s="1"/>
  <c r="HD8" i="1" s="1"/>
  <c r="AF69" i="34"/>
  <c r="AF74" s="1"/>
  <c r="AF35"/>
  <c r="AF71" s="1"/>
  <c r="AE35"/>
  <c r="AE71" s="1"/>
  <c r="HD5" i="1" s="1"/>
  <c r="AF21" i="34"/>
  <c r="AF72" s="1"/>
  <c r="AE21"/>
  <c r="AE72" s="1"/>
  <c r="HD6" i="1" s="1"/>
  <c r="AF17" i="34"/>
  <c r="AE17"/>
  <c r="AF14"/>
  <c r="AE14"/>
  <c r="AF9"/>
  <c r="AF70" s="1"/>
  <c r="AE9"/>
  <c r="AE70" s="1"/>
  <c r="HD7" i="1"/>
  <c r="HD9"/>
  <c r="AG75" i="34" l="1"/>
  <c r="AH75"/>
  <c r="AF75"/>
  <c r="AE75"/>
  <c r="HD4" i="1"/>
  <c r="HD3" s="1"/>
  <c r="HD15" s="1"/>
  <c r="HD17" s="1"/>
  <c r="AC69" i="34" l="1"/>
  <c r="AC74" s="1"/>
  <c r="HC8" i="1" s="1"/>
  <c r="AD69" i="34"/>
  <c r="AD74" s="1"/>
  <c r="AD35"/>
  <c r="AD71" s="1"/>
  <c r="AC35"/>
  <c r="AC71" s="1"/>
  <c r="HC5" i="1" s="1"/>
  <c r="AD21" i="34"/>
  <c r="AD72" s="1"/>
  <c r="AC21"/>
  <c r="AC72" s="1"/>
  <c r="HC6" i="1" s="1"/>
  <c r="AD17" i="34"/>
  <c r="AC17"/>
  <c r="AD14"/>
  <c r="AC14"/>
  <c r="AD9"/>
  <c r="AC9"/>
  <c r="HC7" i="1"/>
  <c r="AD70" i="34" l="1"/>
  <c r="AD75" s="1"/>
  <c r="AC70"/>
  <c r="AC75"/>
  <c r="HC4" i="1"/>
  <c r="HC3" s="1"/>
  <c r="HC9" l="1"/>
  <c r="HC15" s="1"/>
  <c r="HC17" s="1"/>
  <c r="HB7" l="1"/>
  <c r="AB69" i="34" l="1"/>
  <c r="AB74" s="1"/>
  <c r="AA69"/>
  <c r="AA74" s="1"/>
  <c r="HB8" i="1" s="1"/>
  <c r="AB35" i="34"/>
  <c r="AB71" s="1"/>
  <c r="AA35"/>
  <c r="AA71" s="1"/>
  <c r="HB5" i="1" s="1"/>
  <c r="AB21" i="34"/>
  <c r="AB72" s="1"/>
  <c r="AA21"/>
  <c r="AA72" s="1"/>
  <c r="HB6" i="1" s="1"/>
  <c r="AB17" i="34"/>
  <c r="AA17"/>
  <c r="AB14"/>
  <c r="AA14"/>
  <c r="AB9"/>
  <c r="AB70" s="1"/>
  <c r="AA9"/>
  <c r="HB9" i="1"/>
  <c r="AA70" i="34" l="1"/>
  <c r="HB4" i="1" s="1"/>
  <c r="HB3" s="1"/>
  <c r="HB15" s="1"/>
  <c r="HB17" s="1"/>
  <c r="AA75" i="34"/>
  <c r="AB75"/>
  <c r="HA7" i="1" l="1"/>
  <c r="Z69" i="34" l="1"/>
  <c r="Z74" s="1"/>
  <c r="Y69"/>
  <c r="Y74" s="1"/>
  <c r="HA8" i="1" s="1"/>
  <c r="Z35" i="34"/>
  <c r="Z71" s="1"/>
  <c r="Y35"/>
  <c r="Y71" s="1"/>
  <c r="HA5" i="1" s="1"/>
  <c r="Z21" i="34"/>
  <c r="Z72" s="1"/>
  <c r="Y21"/>
  <c r="Y72" s="1"/>
  <c r="HA6" i="1" s="1"/>
  <c r="Z17" i="34"/>
  <c r="Y17"/>
  <c r="Z14"/>
  <c r="Y14"/>
  <c r="Z9"/>
  <c r="Z70" s="1"/>
  <c r="Y9"/>
  <c r="HA9" i="1"/>
  <c r="GZ7"/>
  <c r="GZ9"/>
  <c r="X69" i="34"/>
  <c r="X74" s="1"/>
  <c r="W69"/>
  <c r="W74" s="1"/>
  <c r="X35"/>
  <c r="X71" s="1"/>
  <c r="W35"/>
  <c r="W71" s="1"/>
  <c r="GZ5" i="1" s="1"/>
  <c r="X21" i="34"/>
  <c r="X72" s="1"/>
  <c r="W21"/>
  <c r="W72" s="1"/>
  <c r="GZ6" i="1" s="1"/>
  <c r="X17" i="34"/>
  <c r="W17"/>
  <c r="X14"/>
  <c r="W14"/>
  <c r="X9"/>
  <c r="X70" s="1"/>
  <c r="W9"/>
  <c r="W70" s="1"/>
  <c r="V69"/>
  <c r="V74" s="1"/>
  <c r="U69"/>
  <c r="U74" s="1"/>
  <c r="GY8" i="1" s="1"/>
  <c r="V35" i="34"/>
  <c r="V71" s="1"/>
  <c r="U35"/>
  <c r="U71" s="1"/>
  <c r="GY5" i="1" s="1"/>
  <c r="V21" i="34"/>
  <c r="V72" s="1"/>
  <c r="U21"/>
  <c r="U72" s="1"/>
  <c r="GY6" i="1" s="1"/>
  <c r="V17" i="34"/>
  <c r="U17"/>
  <c r="V14"/>
  <c r="U14"/>
  <c r="V9"/>
  <c r="V70" s="1"/>
  <c r="U9"/>
  <c r="U70" s="1"/>
  <c r="GY7" i="1"/>
  <c r="GY9"/>
  <c r="Y70" i="34" l="1"/>
  <c r="HA4" i="1" s="1"/>
  <c r="HA3" s="1"/>
  <c r="HA15" s="1"/>
  <c r="HA17" s="1"/>
  <c r="Y75" i="34"/>
  <c r="Z75"/>
  <c r="GZ8" i="1"/>
  <c r="W75" i="34"/>
  <c r="GZ4" i="1"/>
  <c r="X75" i="34"/>
  <c r="V75"/>
  <c r="U75"/>
  <c r="GY4" i="1"/>
  <c r="GY3" s="1"/>
  <c r="GY15" s="1"/>
  <c r="GY17" s="1"/>
  <c r="GZ3" l="1"/>
  <c r="GZ15" s="1"/>
  <c r="GZ17" s="1"/>
  <c r="GX7"/>
  <c r="GX9"/>
  <c r="T69" i="34" l="1"/>
  <c r="T74" s="1"/>
  <c r="S69"/>
  <c r="S74" s="1"/>
  <c r="GX8" i="1" s="1"/>
  <c r="T35" i="34"/>
  <c r="T71" s="1"/>
  <c r="S35"/>
  <c r="S71" s="1"/>
  <c r="GX5" i="1" s="1"/>
  <c r="T21" i="34"/>
  <c r="T72" s="1"/>
  <c r="S21"/>
  <c r="S72" s="1"/>
  <c r="GX6" i="1" s="1"/>
  <c r="T17" i="34"/>
  <c r="S17"/>
  <c r="T14"/>
  <c r="S14"/>
  <c r="T9"/>
  <c r="T70" s="1"/>
  <c r="S9"/>
  <c r="S70" l="1"/>
  <c r="T75"/>
  <c r="GW7" i="1"/>
  <c r="GW9"/>
  <c r="R69" i="34"/>
  <c r="R74" s="1"/>
  <c r="Q69"/>
  <c r="Q74" s="1"/>
  <c r="GW8" i="1" s="1"/>
  <c r="R35" i="34"/>
  <c r="R71" s="1"/>
  <c r="Q35"/>
  <c r="Q71" s="1"/>
  <c r="GW5" i="1" s="1"/>
  <c r="R21" i="34"/>
  <c r="R72" s="1"/>
  <c r="Q21"/>
  <c r="Q72" s="1"/>
  <c r="GW6" i="1" s="1"/>
  <c r="R17" i="34"/>
  <c r="Q17"/>
  <c r="R14"/>
  <c r="Q14"/>
  <c r="R9"/>
  <c r="R70" s="1"/>
  <c r="Q9"/>
  <c r="Q70" s="1"/>
  <c r="S75" l="1"/>
  <c r="GX4" i="1"/>
  <c r="GX3" s="1"/>
  <c r="GX15" s="1"/>
  <c r="GX17" s="1"/>
  <c r="Q75" i="34"/>
  <c r="GW4" i="1"/>
  <c r="GW3" s="1"/>
  <c r="GW15" s="1"/>
  <c r="GW17" s="1"/>
  <c r="R75" i="34"/>
  <c r="P69" l="1"/>
  <c r="P74" s="1"/>
  <c r="O69"/>
  <c r="O74" s="1"/>
  <c r="GV8" i="1" s="1"/>
  <c r="P35" i="34"/>
  <c r="P71" s="1"/>
  <c r="O35"/>
  <c r="O71" s="1"/>
  <c r="GV5" i="1" s="1"/>
  <c r="P21" i="34"/>
  <c r="P72" s="1"/>
  <c r="O21"/>
  <c r="O72" s="1"/>
  <c r="GV6" i="1" s="1"/>
  <c r="P17" i="34"/>
  <c r="O17"/>
  <c r="P14"/>
  <c r="O14"/>
  <c r="P9"/>
  <c r="P70" s="1"/>
  <c r="O9"/>
  <c r="O70" s="1"/>
  <c r="GV7" i="1"/>
  <c r="GV9"/>
  <c r="GU7"/>
  <c r="P75" i="34" l="1"/>
  <c r="O75"/>
  <c r="GV4" i="1"/>
  <c r="GV3" s="1"/>
  <c r="GV15" s="1"/>
  <c r="GV17" s="1"/>
  <c r="N69" i="34"/>
  <c r="N74" s="1"/>
  <c r="M69"/>
  <c r="M74" s="1"/>
  <c r="GU8" i="1" s="1"/>
  <c r="N35" i="34"/>
  <c r="N71" s="1"/>
  <c r="M35"/>
  <c r="M71" s="1"/>
  <c r="GU5" i="1" s="1"/>
  <c r="N21" i="34"/>
  <c r="N72" s="1"/>
  <c r="M21"/>
  <c r="M72" s="1"/>
  <c r="GU6" i="1" s="1"/>
  <c r="N17" i="34"/>
  <c r="M17"/>
  <c r="N14"/>
  <c r="M14"/>
  <c r="N9"/>
  <c r="N70" s="1"/>
  <c r="M9"/>
  <c r="M70" s="1"/>
  <c r="GU4" i="1" s="1"/>
  <c r="GU3" s="1"/>
  <c r="GU9"/>
  <c r="GT7"/>
  <c r="GT9"/>
  <c r="K69" i="34"/>
  <c r="K74" s="1"/>
  <c r="GT8" i="1" s="1"/>
  <c r="L14" i="34"/>
  <c r="L69"/>
  <c r="L74" s="1"/>
  <c r="L35"/>
  <c r="L71" s="1"/>
  <c r="K35"/>
  <c r="K71" s="1"/>
  <c r="GT5" i="1" s="1"/>
  <c r="L21" i="34"/>
  <c r="L72" s="1"/>
  <c r="K21"/>
  <c r="K72" s="1"/>
  <c r="GT6" i="1" s="1"/>
  <c r="L17" i="34"/>
  <c r="K17"/>
  <c r="K14"/>
  <c r="L9"/>
  <c r="K9"/>
  <c r="GU15" i="1" l="1"/>
  <c r="GU17" s="1"/>
  <c r="M75" i="34"/>
  <c r="N75"/>
  <c r="K70"/>
  <c r="L70"/>
  <c r="K75" l="1"/>
  <c r="GT4" i="1"/>
  <c r="GT3" s="1"/>
  <c r="GT15" s="1"/>
  <c r="GT17" s="1"/>
  <c r="L75" i="34"/>
  <c r="GS7" i="1" l="1"/>
  <c r="J69" i="34" l="1"/>
  <c r="J74" s="1"/>
  <c r="I69"/>
  <c r="I74" s="1"/>
  <c r="GS8" i="1" s="1"/>
  <c r="J35" i="34"/>
  <c r="J71" s="1"/>
  <c r="I35"/>
  <c r="I71" s="1"/>
  <c r="GS5" i="1" s="1"/>
  <c r="J21" i="34"/>
  <c r="J72" s="1"/>
  <c r="I21"/>
  <c r="I72" s="1"/>
  <c r="GS6" i="1" s="1"/>
  <c r="J17" i="34"/>
  <c r="I17"/>
  <c r="J14"/>
  <c r="I14"/>
  <c r="J9"/>
  <c r="J70" s="1"/>
  <c r="I9"/>
  <c r="I70" s="1"/>
  <c r="GS4" i="1" s="1"/>
  <c r="GS3" s="1"/>
  <c r="I75" i="34" l="1"/>
  <c r="J75"/>
  <c r="GR7" i="1" l="1"/>
  <c r="GR9"/>
  <c r="H14" i="34"/>
  <c r="H9"/>
  <c r="H69"/>
  <c r="H74" s="1"/>
  <c r="G69"/>
  <c r="G74" s="1"/>
  <c r="GR8" i="1" s="1"/>
  <c r="H35" i="34"/>
  <c r="H71" s="1"/>
  <c r="G35"/>
  <c r="G71" s="1"/>
  <c r="GR5" i="1" s="1"/>
  <c r="H21" i="34"/>
  <c r="H72" s="1"/>
  <c r="G21"/>
  <c r="G72" s="1"/>
  <c r="GR6" i="1" s="1"/>
  <c r="H17" i="34"/>
  <c r="G17"/>
  <c r="G14"/>
  <c r="G9"/>
  <c r="H70" l="1"/>
  <c r="H75" s="1"/>
  <c r="G70"/>
  <c r="G75" l="1"/>
  <c r="GR4" i="1"/>
  <c r="GR3" s="1"/>
  <c r="GR15" s="1"/>
  <c r="GR17" s="1"/>
  <c r="GQ7"/>
  <c r="GQ9"/>
  <c r="F35" i="34"/>
  <c r="F71" s="1"/>
  <c r="F9"/>
  <c r="F69"/>
  <c r="F74" s="1"/>
  <c r="E69"/>
  <c r="E74" s="1"/>
  <c r="GQ8" i="1" s="1"/>
  <c r="E35" i="34"/>
  <c r="E71" s="1"/>
  <c r="GQ5" i="1" s="1"/>
  <c r="F21" i="34"/>
  <c r="F72" s="1"/>
  <c r="E21"/>
  <c r="E72" s="1"/>
  <c r="GQ6" i="1" s="1"/>
  <c r="F17" i="34"/>
  <c r="E17"/>
  <c r="F14"/>
  <c r="E14"/>
  <c r="E9"/>
  <c r="GP7" i="1"/>
  <c r="GP9"/>
  <c r="D69" i="34"/>
  <c r="D74" s="1"/>
  <c r="C69"/>
  <c r="C74" s="1"/>
  <c r="GP8" i="1" s="1"/>
  <c r="D35" i="34"/>
  <c r="D71" s="1"/>
  <c r="C35"/>
  <c r="C71" s="1"/>
  <c r="GP5" i="1" s="1"/>
  <c r="D21" i="34"/>
  <c r="D72" s="1"/>
  <c r="C21"/>
  <c r="C72" s="1"/>
  <c r="GP6" i="1" s="1"/>
  <c r="D17" i="34"/>
  <c r="C17"/>
  <c r="D14"/>
  <c r="C14"/>
  <c r="D9"/>
  <c r="C9"/>
  <c r="E70" l="1"/>
  <c r="F70"/>
  <c r="F75" s="1"/>
  <c r="C70"/>
  <c r="C75" s="1"/>
  <c r="D70"/>
  <c r="E75" l="1"/>
  <c r="GQ4" i="1"/>
  <c r="GQ3" s="1"/>
  <c r="GQ15" s="1"/>
  <c r="GQ17" s="1"/>
  <c r="C76" i="34"/>
  <c r="GP4" i="1"/>
  <c r="GP3" s="1"/>
  <c r="GP15" s="1"/>
  <c r="GP17" s="1"/>
  <c r="D75" i="34"/>
  <c r="GO7" i="1" l="1"/>
  <c r="AU41" i="33"/>
  <c r="AW41" s="1"/>
  <c r="AV41"/>
  <c r="AX41" s="1"/>
  <c r="AT72" l="1"/>
  <c r="AT77" s="1"/>
  <c r="AS72"/>
  <c r="AT37"/>
  <c r="AT74" s="1"/>
  <c r="AS37"/>
  <c r="AS74" s="1"/>
  <c r="GO5" i="1" s="1"/>
  <c r="AT22" i="33"/>
  <c r="AT75" s="1"/>
  <c r="AS22"/>
  <c r="AS75" s="1"/>
  <c r="GO6" i="1" s="1"/>
  <c r="AT18" i="33"/>
  <c r="AS18"/>
  <c r="AT15"/>
  <c r="AS15"/>
  <c r="AT9"/>
  <c r="AT73" s="1"/>
  <c r="AS9"/>
  <c r="AS73" s="1"/>
  <c r="GO4" i="1" s="1"/>
  <c r="GO9"/>
  <c r="GN7"/>
  <c r="GN9"/>
  <c r="AS77" i="33" l="1"/>
  <c r="GO8" i="1" s="1"/>
  <c r="GO3" s="1"/>
  <c r="GO15" s="1"/>
  <c r="GO17" s="1"/>
  <c r="AT78" i="33"/>
  <c r="AR72"/>
  <c r="AR77" s="1"/>
  <c r="AQ72"/>
  <c r="AQ77" s="1"/>
  <c r="GN8" i="1" s="1"/>
  <c r="AR37" i="33"/>
  <c r="AR74" s="1"/>
  <c r="AQ37"/>
  <c r="AQ74" s="1"/>
  <c r="GN5" i="1" s="1"/>
  <c r="AR22" i="33"/>
  <c r="AR75" s="1"/>
  <c r="AQ22"/>
  <c r="AQ75" s="1"/>
  <c r="GN6" i="1" s="1"/>
  <c r="AR18" i="33"/>
  <c r="AQ18"/>
  <c r="AR15"/>
  <c r="AQ15"/>
  <c r="AR9"/>
  <c r="AR73" s="1"/>
  <c r="AQ9"/>
  <c r="GM7" i="1"/>
  <c r="AS78" i="33" l="1"/>
  <c r="AQ73"/>
  <c r="AR78"/>
  <c r="GM9" i="1"/>
  <c r="AQ78" i="33" l="1"/>
  <c r="GN4" i="1"/>
  <c r="GN3" s="1"/>
  <c r="GN15" s="1"/>
  <c r="GN17" s="1"/>
  <c r="AP72" i="33"/>
  <c r="AP77" s="1"/>
  <c r="AO72"/>
  <c r="AO77" s="1"/>
  <c r="GM8" i="1" s="1"/>
  <c r="AP37" i="33"/>
  <c r="AP74" s="1"/>
  <c r="AO37"/>
  <c r="AO74" s="1"/>
  <c r="GM5" i="1" s="1"/>
  <c r="AP22" i="33"/>
  <c r="AP75" s="1"/>
  <c r="AO22"/>
  <c r="AO75" s="1"/>
  <c r="GM6" i="1" s="1"/>
  <c r="AP18" i="33"/>
  <c r="AO18"/>
  <c r="AP15"/>
  <c r="AO15"/>
  <c r="AP9"/>
  <c r="AP73" s="1"/>
  <c r="AO9"/>
  <c r="AO73" l="1"/>
  <c r="GM4" i="1" s="1"/>
  <c r="GM3" s="1"/>
  <c r="GM15" s="1"/>
  <c r="GM17" s="1"/>
  <c r="AP78" i="33"/>
  <c r="AO78" l="1"/>
  <c r="GL7" i="1"/>
  <c r="GL9"/>
  <c r="AN72" i="33" l="1"/>
  <c r="AN77" s="1"/>
  <c r="AM72"/>
  <c r="AM77" s="1"/>
  <c r="GL8" i="1" s="1"/>
  <c r="AN37" i="33"/>
  <c r="AN74" s="1"/>
  <c r="AM37"/>
  <c r="AM74" s="1"/>
  <c r="GL5" i="1" s="1"/>
  <c r="AN22" i="33"/>
  <c r="AN75" s="1"/>
  <c r="AM22"/>
  <c r="AM75" s="1"/>
  <c r="GL6" i="1" s="1"/>
  <c r="AN18" i="33"/>
  <c r="AM18"/>
  <c r="AN15"/>
  <c r="AM15"/>
  <c r="AN9"/>
  <c r="AM9"/>
  <c r="GK7" i="1"/>
  <c r="GK9"/>
  <c r="AN73" i="33" l="1"/>
  <c r="AN78" s="1"/>
  <c r="AM73"/>
  <c r="GL4" i="1" s="1"/>
  <c r="GL3" s="1"/>
  <c r="GL15" s="1"/>
  <c r="GL17" s="1"/>
  <c r="AL72" i="33"/>
  <c r="AL77" s="1"/>
  <c r="AK72"/>
  <c r="AK77" s="1"/>
  <c r="GK8" i="1" s="1"/>
  <c r="AL37" i="33"/>
  <c r="AL74" s="1"/>
  <c r="AK37"/>
  <c r="AK74" s="1"/>
  <c r="GK5" i="1" s="1"/>
  <c r="AL22" i="33"/>
  <c r="AL75" s="1"/>
  <c r="AK22"/>
  <c r="AK75" s="1"/>
  <c r="GK6" i="1" s="1"/>
  <c r="AL18" i="33"/>
  <c r="AK18"/>
  <c r="AL15"/>
  <c r="AK15"/>
  <c r="AL9"/>
  <c r="AL73" s="1"/>
  <c r="AK9"/>
  <c r="AK73" s="1"/>
  <c r="GK4" i="1" s="1"/>
  <c r="GK3" s="1"/>
  <c r="GK15" s="1"/>
  <c r="GK17" s="1"/>
  <c r="GJ7"/>
  <c r="AM78" i="33" l="1"/>
  <c r="AK78"/>
  <c r="AL78"/>
  <c r="AJ72"/>
  <c r="AJ77" s="1"/>
  <c r="AI72"/>
  <c r="AI77" s="1"/>
  <c r="GJ8" i="1" s="1"/>
  <c r="AJ37" i="33"/>
  <c r="AJ74" s="1"/>
  <c r="AI37"/>
  <c r="AI74" s="1"/>
  <c r="GJ5" i="1" s="1"/>
  <c r="AJ22" i="33"/>
  <c r="AJ75" s="1"/>
  <c r="AI22"/>
  <c r="AI75" s="1"/>
  <c r="GJ6" i="1" s="1"/>
  <c r="AJ18" i="33"/>
  <c r="AI18"/>
  <c r="AJ15"/>
  <c r="AI15"/>
  <c r="AJ9"/>
  <c r="AJ73" s="1"/>
  <c r="AI9"/>
  <c r="AI73" s="1"/>
  <c r="GJ4" i="1" s="1"/>
  <c r="GJ3" s="1"/>
  <c r="GJ9"/>
  <c r="GJ15" l="1"/>
  <c r="GJ17" s="1"/>
  <c r="AI78" i="33"/>
  <c r="AJ78"/>
  <c r="GI7" i="1" l="1"/>
  <c r="GI9"/>
  <c r="AH72" i="33" l="1"/>
  <c r="AH77" s="1"/>
  <c r="AG72"/>
  <c r="AG77" s="1"/>
  <c r="GI8" i="1" s="1"/>
  <c r="AH37" i="33"/>
  <c r="AH74" s="1"/>
  <c r="AG37"/>
  <c r="AG74" s="1"/>
  <c r="GI5" i="1" s="1"/>
  <c r="AH22" i="33"/>
  <c r="AH75" s="1"/>
  <c r="AG22"/>
  <c r="AG75" s="1"/>
  <c r="GI6" i="1" s="1"/>
  <c r="AH18" i="33"/>
  <c r="AG18"/>
  <c r="AH15"/>
  <c r="AG15"/>
  <c r="AH9"/>
  <c r="AH73" s="1"/>
  <c r="AG9"/>
  <c r="AG73" s="1"/>
  <c r="GI4" i="1" s="1"/>
  <c r="GI3" s="1"/>
  <c r="GI15" s="1"/>
  <c r="GI17" s="1"/>
  <c r="GH7"/>
  <c r="AG78" i="33" l="1"/>
  <c r="AH78"/>
  <c r="AF72"/>
  <c r="AF77" s="1"/>
  <c r="AE72"/>
  <c r="AE77" s="1"/>
  <c r="GH8" i="1" s="1"/>
  <c r="AF37" i="33"/>
  <c r="AF74" s="1"/>
  <c r="AE37"/>
  <c r="AE74" s="1"/>
  <c r="GH5" i="1" s="1"/>
  <c r="AF22" i="33"/>
  <c r="AF75" s="1"/>
  <c r="AE22"/>
  <c r="AE75" s="1"/>
  <c r="GH6" i="1" s="1"/>
  <c r="AF18" i="33"/>
  <c r="AE18"/>
  <c r="AF15"/>
  <c r="AE15"/>
  <c r="AF9"/>
  <c r="AF73" s="1"/>
  <c r="AE9"/>
  <c r="AE73" s="1"/>
  <c r="GH4" i="1" s="1"/>
  <c r="GH3" s="1"/>
  <c r="GH9"/>
  <c r="GH15" l="1"/>
  <c r="GH17" s="1"/>
  <c r="AE78" i="33"/>
  <c r="AF78"/>
  <c r="GG7" i="1"/>
  <c r="GG9"/>
  <c r="AD72" i="33"/>
  <c r="AD77" s="1"/>
  <c r="AC72"/>
  <c r="AC77" s="1"/>
  <c r="GG8" i="1" s="1"/>
  <c r="AD37" i="33"/>
  <c r="AD74" s="1"/>
  <c r="AC37"/>
  <c r="AC74" s="1"/>
  <c r="GG5" i="1" s="1"/>
  <c r="AD22" i="33"/>
  <c r="AD75" s="1"/>
  <c r="AC22"/>
  <c r="AC75" s="1"/>
  <c r="GG6" i="1" s="1"/>
  <c r="AD18" i="33"/>
  <c r="AC18"/>
  <c r="AD15"/>
  <c r="AC15"/>
  <c r="AD9"/>
  <c r="AD73" s="1"/>
  <c r="AC9"/>
  <c r="AC73" l="1"/>
  <c r="AC78" s="1"/>
  <c r="AD78"/>
  <c r="AB72"/>
  <c r="AB77" s="1"/>
  <c r="AA72"/>
  <c r="AA77" s="1"/>
  <c r="GF8" i="1" s="1"/>
  <c r="AB37" i="33"/>
  <c r="AB74" s="1"/>
  <c r="AA37"/>
  <c r="AA74" s="1"/>
  <c r="GF5" i="1" s="1"/>
  <c r="AB22" i="33"/>
  <c r="AB75" s="1"/>
  <c r="AA22"/>
  <c r="AA75" s="1"/>
  <c r="GF6" i="1" s="1"/>
  <c r="AB18" i="33"/>
  <c r="AA18"/>
  <c r="AB15"/>
  <c r="AA15"/>
  <c r="AB9"/>
  <c r="AB73" s="1"/>
  <c r="AA9"/>
  <c r="AA73" s="1"/>
  <c r="GF4" i="1" s="1"/>
  <c r="GF7"/>
  <c r="GF9"/>
  <c r="GE7"/>
  <c r="GE9"/>
  <c r="Z72" i="33"/>
  <c r="Z77" s="1"/>
  <c r="Y72"/>
  <c r="Y77" s="1"/>
  <c r="GE8" i="1" s="1"/>
  <c r="Z37" i="33"/>
  <c r="Z74" s="1"/>
  <c r="Y37"/>
  <c r="Y74" s="1"/>
  <c r="GE5" i="1" s="1"/>
  <c r="Z22" i="33"/>
  <c r="Z75" s="1"/>
  <c r="Y22"/>
  <c r="Y75" s="1"/>
  <c r="GE6" i="1" s="1"/>
  <c r="Z18" i="33"/>
  <c r="Y18"/>
  <c r="Z15"/>
  <c r="Y15"/>
  <c r="Z9"/>
  <c r="Z73" s="1"/>
  <c r="Y9"/>
  <c r="GG4" i="1" l="1"/>
  <c r="GG3" s="1"/>
  <c r="GG15" s="1"/>
  <c r="GG17" s="1"/>
  <c r="AA78" i="33"/>
  <c r="GF3" i="1"/>
  <c r="GF15" s="1"/>
  <c r="GF17" s="1"/>
  <c r="AB78" i="33"/>
  <c r="Y73"/>
  <c r="Y78" s="1"/>
  <c r="Z78"/>
  <c r="GE4" i="1" l="1"/>
  <c r="GE3" s="1"/>
  <c r="GE15" s="1"/>
  <c r="GE17" s="1"/>
  <c r="X72" i="33"/>
  <c r="X77" s="1"/>
  <c r="W72"/>
  <c r="W77" s="1"/>
  <c r="GD8" i="1" s="1"/>
  <c r="X37" i="33"/>
  <c r="X74" s="1"/>
  <c r="W37"/>
  <c r="W74" s="1"/>
  <c r="GD5" i="1" s="1"/>
  <c r="X22" i="33"/>
  <c r="X75" s="1"/>
  <c r="W22"/>
  <c r="W75" s="1"/>
  <c r="GD6" i="1" s="1"/>
  <c r="X18" i="33"/>
  <c r="W18"/>
  <c r="X15"/>
  <c r="W15"/>
  <c r="X9"/>
  <c r="X73" s="1"/>
  <c r="W9"/>
  <c r="GD7" i="1"/>
  <c r="GD9"/>
  <c r="W73" i="33" l="1"/>
  <c r="W78" s="1"/>
  <c r="X78"/>
  <c r="GD4" i="1"/>
  <c r="GD3" s="1"/>
  <c r="GD15" s="1"/>
  <c r="GD17" s="1"/>
  <c r="V72" i="33"/>
  <c r="V77" s="1"/>
  <c r="U72"/>
  <c r="U77" s="1"/>
  <c r="GC8" i="1" s="1"/>
  <c r="V37" i="33"/>
  <c r="V74" s="1"/>
  <c r="U37"/>
  <c r="U74" s="1"/>
  <c r="GC5" i="1" s="1"/>
  <c r="V22" i="33"/>
  <c r="V75" s="1"/>
  <c r="U22"/>
  <c r="U75" s="1"/>
  <c r="GC6" i="1" s="1"/>
  <c r="V18" i="33"/>
  <c r="U18"/>
  <c r="V15"/>
  <c r="U15"/>
  <c r="V9"/>
  <c r="V73" s="1"/>
  <c r="U9"/>
  <c r="U73" s="1"/>
  <c r="GC7" i="1"/>
  <c r="GC9"/>
  <c r="GB7"/>
  <c r="GB9"/>
  <c r="S72" i="33"/>
  <c r="S77" s="1"/>
  <c r="GB8" i="1" s="1"/>
  <c r="T9" i="33"/>
  <c r="T72"/>
  <c r="T77" s="1"/>
  <c r="T37"/>
  <c r="T74" s="1"/>
  <c r="S37"/>
  <c r="S74" s="1"/>
  <c r="GB5" i="1" s="1"/>
  <c r="T22" i="33"/>
  <c r="T75" s="1"/>
  <c r="S22"/>
  <c r="S75" s="1"/>
  <c r="GB6" i="1" s="1"/>
  <c r="T18" i="33"/>
  <c r="S18"/>
  <c r="T15"/>
  <c r="S15"/>
  <c r="S9"/>
  <c r="GA9" i="1"/>
  <c r="GA7"/>
  <c r="U78" i="33" l="1"/>
  <c r="GC4" i="1"/>
  <c r="GC3" s="1"/>
  <c r="GC15" s="1"/>
  <c r="GC17" s="1"/>
  <c r="V78" i="33"/>
  <c r="S73"/>
  <c r="T73"/>
  <c r="T78" s="1"/>
  <c r="Q72"/>
  <c r="Q77" s="1"/>
  <c r="GA8" i="1" s="1"/>
  <c r="R9" i="33"/>
  <c r="R72"/>
  <c r="R77" s="1"/>
  <c r="R37"/>
  <c r="R74" s="1"/>
  <c r="Q37"/>
  <c r="Q74" s="1"/>
  <c r="GA5" i="1" s="1"/>
  <c r="R22" i="33"/>
  <c r="R75" s="1"/>
  <c r="Q22"/>
  <c r="Q75" s="1"/>
  <c r="GA6" i="1" s="1"/>
  <c r="R18" i="33"/>
  <c r="Q18"/>
  <c r="R15"/>
  <c r="Q15"/>
  <c r="Q9"/>
  <c r="S78" l="1"/>
  <c r="GB4" i="1"/>
  <c r="GB3" s="1"/>
  <c r="GB15" s="1"/>
  <c r="GB17" s="1"/>
  <c r="Q73" i="33"/>
  <c r="R73"/>
  <c r="R78" s="1"/>
  <c r="Q78" l="1"/>
  <c r="GA4" i="1"/>
  <c r="GA3" s="1"/>
  <c r="GA15" s="1"/>
  <c r="GA17" s="1"/>
  <c r="P72" i="33"/>
  <c r="P77" s="1"/>
  <c r="O72"/>
  <c r="O77" s="1"/>
  <c r="FZ8" i="1" s="1"/>
  <c r="P37" i="33"/>
  <c r="P74" s="1"/>
  <c r="O37"/>
  <c r="O74" s="1"/>
  <c r="FZ5" i="1" s="1"/>
  <c r="P22" i="33"/>
  <c r="P75" s="1"/>
  <c r="O22"/>
  <c r="O75" s="1"/>
  <c r="FZ6" i="1" s="1"/>
  <c r="P18" i="33"/>
  <c r="O18"/>
  <c r="P15"/>
  <c r="O15"/>
  <c r="P9"/>
  <c r="P73" s="1"/>
  <c r="O9"/>
  <c r="FZ7" i="1"/>
  <c r="FZ9"/>
  <c r="FY7"/>
  <c r="FY9"/>
  <c r="O73" i="33" l="1"/>
  <c r="O78" s="1"/>
  <c r="P78"/>
  <c r="N72"/>
  <c r="N77" s="1"/>
  <c r="M72"/>
  <c r="N37"/>
  <c r="N74" s="1"/>
  <c r="M37"/>
  <c r="M74" s="1"/>
  <c r="FY5" i="1" s="1"/>
  <c r="N22" i="33"/>
  <c r="N75" s="1"/>
  <c r="M22"/>
  <c r="M75" s="1"/>
  <c r="FY6" i="1" s="1"/>
  <c r="N18" i="33"/>
  <c r="M18"/>
  <c r="N15"/>
  <c r="M15"/>
  <c r="N9"/>
  <c r="N73" s="1"/>
  <c r="M9"/>
  <c r="L72"/>
  <c r="L77" s="1"/>
  <c r="K72"/>
  <c r="K77" s="1"/>
  <c r="FX8" i="1" s="1"/>
  <c r="L37" i="33"/>
  <c r="L74" s="1"/>
  <c r="K37"/>
  <c r="K74" s="1"/>
  <c r="FX5" i="1" s="1"/>
  <c r="L22" i="33"/>
  <c r="L75" s="1"/>
  <c r="K22"/>
  <c r="K75" s="1"/>
  <c r="FX6" i="1" s="1"/>
  <c r="L18" i="33"/>
  <c r="K18"/>
  <c r="L15"/>
  <c r="K15"/>
  <c r="L9"/>
  <c r="L73" s="1"/>
  <c r="K9"/>
  <c r="FX7" i="1"/>
  <c r="FX9"/>
  <c r="FW7"/>
  <c r="FZ4" l="1"/>
  <c r="FZ3" s="1"/>
  <c r="FZ15" s="1"/>
  <c r="FZ17" s="1"/>
  <c r="M77" i="33"/>
  <c r="FY8" i="1" s="1"/>
  <c r="M73" i="33"/>
  <c r="N78"/>
  <c r="K73"/>
  <c r="K78" s="1"/>
  <c r="L78"/>
  <c r="FX4" i="1"/>
  <c r="FX3" s="1"/>
  <c r="FX15" s="1"/>
  <c r="FX17" s="1"/>
  <c r="J72" i="33"/>
  <c r="J77" s="1"/>
  <c r="I72"/>
  <c r="J37"/>
  <c r="J74" s="1"/>
  <c r="I37"/>
  <c r="I74" s="1"/>
  <c r="FW5" i="1" s="1"/>
  <c r="J22" i="33"/>
  <c r="J75" s="1"/>
  <c r="I22"/>
  <c r="I75" s="1"/>
  <c r="FW6" i="1" s="1"/>
  <c r="J18" i="33"/>
  <c r="I18"/>
  <c r="J15"/>
  <c r="I15"/>
  <c r="J9"/>
  <c r="J73" s="1"/>
  <c r="I9"/>
  <c r="FW9" i="1"/>
  <c r="FV7"/>
  <c r="FV9"/>
  <c r="M78" i="33" l="1"/>
  <c r="FY4" i="1"/>
  <c r="FY3" s="1"/>
  <c r="FY15" s="1"/>
  <c r="FY17" s="1"/>
  <c r="I73" i="33"/>
  <c r="FW4" i="1" s="1"/>
  <c r="I77" i="33"/>
  <c r="FW8" i="1" s="1"/>
  <c r="I78" i="33"/>
  <c r="J78"/>
  <c r="FW3" i="1" l="1"/>
  <c r="FW15" s="1"/>
  <c r="FW17" s="1"/>
  <c r="H22" i="33"/>
  <c r="H75" s="1"/>
  <c r="H72"/>
  <c r="H77" s="1"/>
  <c r="G72"/>
  <c r="G77" s="1"/>
  <c r="FV8" i="1" s="1"/>
  <c r="H37" i="33"/>
  <c r="H74" s="1"/>
  <c r="G37"/>
  <c r="G74" s="1"/>
  <c r="FV5" i="1" s="1"/>
  <c r="G22" i="33"/>
  <c r="G75" s="1"/>
  <c r="FV6" i="1" s="1"/>
  <c r="H18" i="33"/>
  <c r="G18"/>
  <c r="H15"/>
  <c r="G15"/>
  <c r="H9"/>
  <c r="H73" s="1"/>
  <c r="G9"/>
  <c r="G73" l="1"/>
  <c r="H78"/>
  <c r="G78" l="1"/>
  <c r="FV4" i="1"/>
  <c r="FV3" s="1"/>
  <c r="FV15" s="1"/>
  <c r="FV17" s="1"/>
  <c r="FU7"/>
  <c r="FU9"/>
  <c r="F18" i="33" l="1"/>
  <c r="F72" l="1"/>
  <c r="F77" s="1"/>
  <c r="E72"/>
  <c r="E77" s="1"/>
  <c r="FU8" i="1" s="1"/>
  <c r="F37" i="33"/>
  <c r="F74" s="1"/>
  <c r="E37"/>
  <c r="E74" s="1"/>
  <c r="FU5" i="1" s="1"/>
  <c r="F22" i="33"/>
  <c r="F75" s="1"/>
  <c r="E22"/>
  <c r="E75" s="1"/>
  <c r="FU6" i="1" s="1"/>
  <c r="E18" i="33"/>
  <c r="F15"/>
  <c r="E15"/>
  <c r="F9"/>
  <c r="F73" s="1"/>
  <c r="E9"/>
  <c r="E73" s="1"/>
  <c r="FU4" i="1" s="1"/>
  <c r="FT7"/>
  <c r="FT9"/>
  <c r="FU3" l="1"/>
  <c r="FU15" s="1"/>
  <c r="FU17" s="1"/>
  <c r="E78" i="33"/>
  <c r="F78"/>
  <c r="D72" l="1"/>
  <c r="D77" s="1"/>
  <c r="C72"/>
  <c r="C77" s="1"/>
  <c r="FT8" i="1" s="1"/>
  <c r="D37" i="33"/>
  <c r="D74" s="1"/>
  <c r="C37"/>
  <c r="C74" s="1"/>
  <c r="FT5" i="1" s="1"/>
  <c r="D22" i="33"/>
  <c r="D75" s="1"/>
  <c r="C22"/>
  <c r="C75" s="1"/>
  <c r="FT6" i="1" s="1"/>
  <c r="C18" i="33"/>
  <c r="D15"/>
  <c r="C15"/>
  <c r="D9"/>
  <c r="D73" s="1"/>
  <c r="C9"/>
  <c r="C73" s="1"/>
  <c r="FT4" i="1" s="1"/>
  <c r="FT3" l="1"/>
  <c r="FT15" s="1"/>
  <c r="FT17" s="1"/>
  <c r="C78" i="33"/>
  <c r="D78"/>
  <c r="FS7" i="1" l="1"/>
  <c r="FS9"/>
  <c r="AS68" i="32"/>
  <c r="AT72" l="1"/>
  <c r="AT77" s="1"/>
  <c r="AS72"/>
  <c r="AS77" s="1"/>
  <c r="AT37"/>
  <c r="AT74" s="1"/>
  <c r="AS37"/>
  <c r="AS74" s="1"/>
  <c r="FS5" i="1" s="1"/>
  <c r="AT22" i="32"/>
  <c r="AT75" s="1"/>
  <c r="AS22"/>
  <c r="AS75" s="1"/>
  <c r="FS6" i="1" s="1"/>
  <c r="AS18" i="32"/>
  <c r="AT15"/>
  <c r="AS15"/>
  <c r="AT9"/>
  <c r="AT73" s="1"/>
  <c r="AS9"/>
  <c r="AS73" s="1"/>
  <c r="FS4" i="1" s="1"/>
  <c r="AQ72" i="32"/>
  <c r="AQ77" s="1"/>
  <c r="AR72"/>
  <c r="AR77" s="1"/>
  <c r="AR37"/>
  <c r="AR74" s="1"/>
  <c r="AQ37"/>
  <c r="AQ74" s="1"/>
  <c r="AR22"/>
  <c r="AR75" s="1"/>
  <c r="AQ22"/>
  <c r="AQ75" s="1"/>
  <c r="AQ18"/>
  <c r="AR15"/>
  <c r="AQ15"/>
  <c r="AR9"/>
  <c r="AR73" s="1"/>
  <c r="AQ9"/>
  <c r="FS8" i="1" l="1"/>
  <c r="FS3" s="1"/>
  <c r="FS15" s="1"/>
  <c r="FS17" s="1"/>
  <c r="AT78" i="32"/>
  <c r="AS78"/>
  <c r="AQ73"/>
  <c r="AQ78" s="1"/>
  <c r="AR78"/>
  <c r="FR4" i="1" l="1"/>
  <c r="FR5"/>
  <c r="FR6"/>
  <c r="FR7"/>
  <c r="FR8"/>
  <c r="FR9"/>
  <c r="AP72" i="32"/>
  <c r="AP77" s="1"/>
  <c r="AO72"/>
  <c r="AO77" s="1"/>
  <c r="FQ8" i="1" s="1"/>
  <c r="AP37" i="32"/>
  <c r="AP74" s="1"/>
  <c r="AO37"/>
  <c r="AO74" s="1"/>
  <c r="FQ5" i="1" s="1"/>
  <c r="AP22" i="32"/>
  <c r="AP75" s="1"/>
  <c r="AO22"/>
  <c r="AO75" s="1"/>
  <c r="FQ6" i="1" s="1"/>
  <c r="AP18" i="32"/>
  <c r="AO18"/>
  <c r="AP15"/>
  <c r="AO15"/>
  <c r="AP9"/>
  <c r="AP73" s="1"/>
  <c r="AO9"/>
  <c r="FQ7" i="1"/>
  <c r="FQ9"/>
  <c r="FP7"/>
  <c r="FP9"/>
  <c r="AO73" i="32" l="1"/>
  <c r="FR3" i="1"/>
  <c r="FR15" s="1"/>
  <c r="FR17" s="1"/>
  <c r="AO78" i="32"/>
  <c r="FQ4" i="1"/>
  <c r="FQ3" s="1"/>
  <c r="FQ15" s="1"/>
  <c r="FQ17" s="1"/>
  <c r="AP78" i="32"/>
  <c r="AN72"/>
  <c r="AN77" s="1"/>
  <c r="AM72"/>
  <c r="AM77" s="1"/>
  <c r="FP8" i="1" s="1"/>
  <c r="AN37" i="32"/>
  <c r="AN74" s="1"/>
  <c r="AM37"/>
  <c r="AM74" s="1"/>
  <c r="FP5" i="1" s="1"/>
  <c r="AN22" i="32"/>
  <c r="AN75" s="1"/>
  <c r="AM22"/>
  <c r="AM75" s="1"/>
  <c r="FP6" i="1" s="1"/>
  <c r="AN18" i="32"/>
  <c r="AM18"/>
  <c r="AN15"/>
  <c r="AM15"/>
  <c r="AN9"/>
  <c r="AN73" s="1"/>
  <c r="AM9"/>
  <c r="AL72"/>
  <c r="AL77" s="1"/>
  <c r="AK72"/>
  <c r="AK77" s="1"/>
  <c r="FO8" i="1" s="1"/>
  <c r="AL37" i="32"/>
  <c r="AL74" s="1"/>
  <c r="AK37"/>
  <c r="AK74" s="1"/>
  <c r="FO5" i="1" s="1"/>
  <c r="AL22" i="32"/>
  <c r="AL75" s="1"/>
  <c r="AK22"/>
  <c r="AK75" s="1"/>
  <c r="FO6" i="1" s="1"/>
  <c r="AL18" i="32"/>
  <c r="AK18"/>
  <c r="AL15"/>
  <c r="AK15"/>
  <c r="AL9"/>
  <c r="AL73" s="1"/>
  <c r="AK9"/>
  <c r="AK73" s="1"/>
  <c r="FO7" i="1"/>
  <c r="FO9"/>
  <c r="AM73" i="32" l="1"/>
  <c r="FP4" i="1" s="1"/>
  <c r="FP3" s="1"/>
  <c r="FP15" s="1"/>
  <c r="FP17" s="1"/>
  <c r="AN78" i="32"/>
  <c r="AL78"/>
  <c r="AK78"/>
  <c r="FO4" i="1"/>
  <c r="FO3" s="1"/>
  <c r="FO15" s="1"/>
  <c r="FO17" s="1"/>
  <c r="AM78" i="32" l="1"/>
  <c r="AJ72"/>
  <c r="AJ77" s="1"/>
  <c r="AI72"/>
  <c r="AI77" s="1"/>
  <c r="FN8" i="1" s="1"/>
  <c r="AJ37" i="32"/>
  <c r="AJ74" s="1"/>
  <c r="AI37"/>
  <c r="AI74" s="1"/>
  <c r="FN5" i="1" s="1"/>
  <c r="AJ22" i="32"/>
  <c r="AJ75" s="1"/>
  <c r="AI22"/>
  <c r="AI75" s="1"/>
  <c r="FN6" i="1" s="1"/>
  <c r="AJ18" i="32"/>
  <c r="AI18"/>
  <c r="AJ15"/>
  <c r="AI15"/>
  <c r="AJ9"/>
  <c r="AJ73" s="1"/>
  <c r="AI9"/>
  <c r="FN7" i="1"/>
  <c r="FN9"/>
  <c r="FM7"/>
  <c r="FM9"/>
  <c r="AI73" i="32" l="1"/>
  <c r="AI78" s="1"/>
  <c r="AJ78"/>
  <c r="FN4" i="1"/>
  <c r="FN3" s="1"/>
  <c r="FN15" s="1"/>
  <c r="FN17" s="1"/>
  <c r="AH72" i="32"/>
  <c r="AH77" s="1"/>
  <c r="AG72"/>
  <c r="AG77" s="1"/>
  <c r="FM8" i="1" s="1"/>
  <c r="AH37" i="32"/>
  <c r="AH74" s="1"/>
  <c r="AG37"/>
  <c r="AG74" s="1"/>
  <c r="FM5" i="1" s="1"/>
  <c r="AH22" i="32"/>
  <c r="AH75" s="1"/>
  <c r="AG22"/>
  <c r="AG75" s="1"/>
  <c r="FM6" i="1" s="1"/>
  <c r="AH18" i="32"/>
  <c r="AG18"/>
  <c r="AH15"/>
  <c r="AG15"/>
  <c r="AH9"/>
  <c r="AG9"/>
  <c r="AH73" l="1"/>
  <c r="AG73"/>
  <c r="AH78"/>
  <c r="AF72"/>
  <c r="AF77" s="1"/>
  <c r="AE72"/>
  <c r="AE77" s="1"/>
  <c r="FL8" i="1" s="1"/>
  <c r="AF37" i="32"/>
  <c r="AF74" s="1"/>
  <c r="AE37"/>
  <c r="AE74" s="1"/>
  <c r="FL5" i="1" s="1"/>
  <c r="AF22" i="32"/>
  <c r="AF75" s="1"/>
  <c r="AE22"/>
  <c r="AE75" s="1"/>
  <c r="FL6" i="1" s="1"/>
  <c r="AF18" i="32"/>
  <c r="AE18"/>
  <c r="AF15"/>
  <c r="AE15"/>
  <c r="AF9"/>
  <c r="AF73" s="1"/>
  <c r="AE9"/>
  <c r="FL7" i="1"/>
  <c r="FK7"/>
  <c r="FK9"/>
  <c r="AG78" i="32" l="1"/>
  <c r="FM4" i="1"/>
  <c r="FM3" s="1"/>
  <c r="FM15" s="1"/>
  <c r="FM17" s="1"/>
  <c r="AE73" i="32"/>
  <c r="AE78" s="1"/>
  <c r="AF78"/>
  <c r="AD72"/>
  <c r="AD77" s="1"/>
  <c r="AC72"/>
  <c r="AC77" s="1"/>
  <c r="FK8" i="1" s="1"/>
  <c r="AD37" i="32"/>
  <c r="AD74" s="1"/>
  <c r="AC37"/>
  <c r="AC74" s="1"/>
  <c r="FK5" i="1" s="1"/>
  <c r="AD22" i="32"/>
  <c r="AD75" s="1"/>
  <c r="AC22"/>
  <c r="AC75" s="1"/>
  <c r="FK6" i="1" s="1"/>
  <c r="AD18" i="32"/>
  <c r="AC18"/>
  <c r="AD15"/>
  <c r="AC15"/>
  <c r="AD9"/>
  <c r="AD73" s="1"/>
  <c r="AC9"/>
  <c r="FJ7" i="1"/>
  <c r="FL4" l="1"/>
  <c r="FL3" s="1"/>
  <c r="AC73" i="32"/>
  <c r="AD78"/>
  <c r="AB72"/>
  <c r="AB77" s="1"/>
  <c r="AA72"/>
  <c r="AA77" s="1"/>
  <c r="FJ8" i="1" s="1"/>
  <c r="AB37" i="32"/>
  <c r="AB74" s="1"/>
  <c r="AA37"/>
  <c r="AA74" s="1"/>
  <c r="FJ5" i="1" s="1"/>
  <c r="AB22" i="32"/>
  <c r="AB75" s="1"/>
  <c r="AA22"/>
  <c r="AA75" s="1"/>
  <c r="FJ6" i="1" s="1"/>
  <c r="AB18" i="32"/>
  <c r="AA18"/>
  <c r="AB15"/>
  <c r="AA15"/>
  <c r="AB9"/>
  <c r="AB73" s="1"/>
  <c r="AA9"/>
  <c r="AA73" s="1"/>
  <c r="FJ4" i="1" s="1"/>
  <c r="FJ3" s="1"/>
  <c r="FJ9"/>
  <c r="FI7"/>
  <c r="FI9"/>
  <c r="AC78" i="32" l="1"/>
  <c r="FK4" i="1"/>
  <c r="FK3" s="1"/>
  <c r="FK15" s="1"/>
  <c r="FK17" s="1"/>
  <c r="FJ15"/>
  <c r="FJ17" s="1"/>
  <c r="AA78" i="32"/>
  <c r="AB78"/>
  <c r="Z72"/>
  <c r="Z77" s="1"/>
  <c r="Y72"/>
  <c r="Y77" s="1"/>
  <c r="FI8" i="1" s="1"/>
  <c r="Z37" i="32"/>
  <c r="Z74" s="1"/>
  <c r="Y37"/>
  <c r="Y74" s="1"/>
  <c r="FI5" i="1" s="1"/>
  <c r="Z22" i="32"/>
  <c r="Z75" s="1"/>
  <c r="Y22"/>
  <c r="Y75" s="1"/>
  <c r="FI6" i="1" s="1"/>
  <c r="Z18" i="32"/>
  <c r="Y18"/>
  <c r="Z15"/>
  <c r="Y15"/>
  <c r="Z9"/>
  <c r="Z73" s="1"/>
  <c r="Y9"/>
  <c r="Y73" l="1"/>
  <c r="Z78"/>
  <c r="X72"/>
  <c r="X77" s="1"/>
  <c r="W72"/>
  <c r="W77" s="1"/>
  <c r="FH8" i="1" s="1"/>
  <c r="X37" i="32"/>
  <c r="X74" s="1"/>
  <c r="W37"/>
  <c r="W74" s="1"/>
  <c r="FH5" i="1" s="1"/>
  <c r="X22" i="32"/>
  <c r="X75" s="1"/>
  <c r="W22"/>
  <c r="W75" s="1"/>
  <c r="FH6" i="1" s="1"/>
  <c r="X18" i="32"/>
  <c r="W18"/>
  <c r="X15"/>
  <c r="W15"/>
  <c r="X9"/>
  <c r="X73" s="1"/>
  <c r="W9"/>
  <c r="FH7" i="1"/>
  <c r="FH9"/>
  <c r="U72" i="32"/>
  <c r="U77" s="1"/>
  <c r="V9"/>
  <c r="V72"/>
  <c r="V77" s="1"/>
  <c r="V37"/>
  <c r="V74" s="1"/>
  <c r="U37"/>
  <c r="U74" s="1"/>
  <c r="V22"/>
  <c r="V75" s="1"/>
  <c r="U22"/>
  <c r="U75" s="1"/>
  <c r="V18"/>
  <c r="U18"/>
  <c r="V15"/>
  <c r="U15"/>
  <c r="U9"/>
  <c r="Y78" l="1"/>
  <c r="FI4" i="1"/>
  <c r="FI3" s="1"/>
  <c r="FI15" s="1"/>
  <c r="FI17" s="1"/>
  <c r="W73" i="32"/>
  <c r="X78"/>
  <c r="W78"/>
  <c r="FH4" i="1"/>
  <c r="FH3" s="1"/>
  <c r="FH15" s="1"/>
  <c r="FH17" s="1"/>
  <c r="U73" i="32"/>
  <c r="U78" s="1"/>
  <c r="V73"/>
  <c r="V78" s="1"/>
  <c r="FG4" i="1" l="1"/>
  <c r="FG5"/>
  <c r="FG6"/>
  <c r="FG7"/>
  <c r="FG8"/>
  <c r="FG9"/>
  <c r="FG3" l="1"/>
  <c r="FG15" s="1"/>
  <c r="FG17" s="1"/>
  <c r="FF7"/>
  <c r="FF9"/>
  <c r="T37" i="32"/>
  <c r="S37"/>
  <c r="S72"/>
  <c r="C72"/>
  <c r="D72"/>
  <c r="E72"/>
  <c r="F72"/>
  <c r="G72"/>
  <c r="H72"/>
  <c r="I72"/>
  <c r="J72"/>
  <c r="K72"/>
  <c r="L72"/>
  <c r="M72"/>
  <c r="N72"/>
  <c r="O72"/>
  <c r="P72"/>
  <c r="Q72"/>
  <c r="R72"/>
  <c r="T72"/>
  <c r="T77" l="1"/>
  <c r="S77"/>
  <c r="FF8" i="1" s="1"/>
  <c r="T74" i="32"/>
  <c r="S74"/>
  <c r="FF5" i="1" s="1"/>
  <c r="T22" i="32"/>
  <c r="T75" s="1"/>
  <c r="S22"/>
  <c r="S75" s="1"/>
  <c r="FF6" i="1" s="1"/>
  <c r="T18" i="32"/>
  <c r="S18"/>
  <c r="T15"/>
  <c r="S15"/>
  <c r="T9"/>
  <c r="S9"/>
  <c r="R77"/>
  <c r="Q77"/>
  <c r="FE8" i="1" s="1"/>
  <c r="R37" i="32"/>
  <c r="R74" s="1"/>
  <c r="Q37"/>
  <c r="Q74" s="1"/>
  <c r="FE5" i="1" s="1"/>
  <c r="R22" i="32"/>
  <c r="R75" s="1"/>
  <c r="Q22"/>
  <c r="Q75" s="1"/>
  <c r="FE6" i="1" s="1"/>
  <c r="R18" i="32"/>
  <c r="Q18"/>
  <c r="R15"/>
  <c r="Q15"/>
  <c r="R9"/>
  <c r="R73" s="1"/>
  <c r="Q9"/>
  <c r="Q73" s="1"/>
  <c r="FE7" i="1"/>
  <c r="FE9"/>
  <c r="FD7"/>
  <c r="T73" i="32" l="1"/>
  <c r="S73"/>
  <c r="FF4" i="1" s="1"/>
  <c r="FF3" s="1"/>
  <c r="FF15" s="1"/>
  <c r="FF17" s="1"/>
  <c r="T78" i="32"/>
  <c r="Q78"/>
  <c r="R78"/>
  <c r="P77"/>
  <c r="O77"/>
  <c r="FD8" i="1" s="1"/>
  <c r="P37" i="32"/>
  <c r="P74" s="1"/>
  <c r="O37"/>
  <c r="O74" s="1"/>
  <c r="FD5" i="1" s="1"/>
  <c r="P22" i="32"/>
  <c r="P75" s="1"/>
  <c r="O22"/>
  <c r="O75" s="1"/>
  <c r="FD6" i="1" s="1"/>
  <c r="P18" i="32"/>
  <c r="O18"/>
  <c r="P15"/>
  <c r="O15"/>
  <c r="P9"/>
  <c r="P73" s="1"/>
  <c r="O9"/>
  <c r="O73" s="1"/>
  <c r="S78" l="1"/>
  <c r="FE4" i="1"/>
  <c r="FE3" s="1"/>
  <c r="FE15" s="1"/>
  <c r="FE17" s="1"/>
  <c r="P78" i="32"/>
  <c r="FD9" i="1"/>
  <c r="FC7"/>
  <c r="FC9"/>
  <c r="O78" i="32" l="1"/>
  <c r="FD4" i="1"/>
  <c r="FD3" s="1"/>
  <c r="N77" i="32"/>
  <c r="M77"/>
  <c r="FC8" i="1" s="1"/>
  <c r="N37" i="32"/>
  <c r="N74" s="1"/>
  <c r="M37"/>
  <c r="M74" s="1"/>
  <c r="FC5" i="1" s="1"/>
  <c r="N22" i="32"/>
  <c r="N75" s="1"/>
  <c r="M22"/>
  <c r="M75" s="1"/>
  <c r="FC6" i="1" s="1"/>
  <c r="N18" i="32"/>
  <c r="M18"/>
  <c r="N15"/>
  <c r="M15"/>
  <c r="N9"/>
  <c r="N73" s="1"/>
  <c r="M9"/>
  <c r="M73" s="1"/>
  <c r="FB7" i="1"/>
  <c r="FB9"/>
  <c r="FD15" l="1"/>
  <c r="FD17" s="1"/>
  <c r="N78" i="32"/>
  <c r="L77"/>
  <c r="K77"/>
  <c r="FB8" i="1" s="1"/>
  <c r="L37" i="32"/>
  <c r="L74" s="1"/>
  <c r="K37"/>
  <c r="K74" s="1"/>
  <c r="FB5" i="1" s="1"/>
  <c r="L22" i="32"/>
  <c r="L75" s="1"/>
  <c r="K22"/>
  <c r="K75" s="1"/>
  <c r="FB6" i="1" s="1"/>
  <c r="L18" i="32"/>
  <c r="K18"/>
  <c r="L15"/>
  <c r="K15"/>
  <c r="L9"/>
  <c r="L73" s="1"/>
  <c r="K9"/>
  <c r="K73" s="1"/>
  <c r="M78" l="1"/>
  <c r="FC4" i="1"/>
  <c r="FC3" s="1"/>
  <c r="FC15" s="1"/>
  <c r="FC17" s="1"/>
  <c r="L78" i="32"/>
  <c r="FA7" i="1"/>
  <c r="FA9"/>
  <c r="J37" i="32"/>
  <c r="J74" s="1"/>
  <c r="I37"/>
  <c r="I74" s="1"/>
  <c r="FA5" i="1" s="1"/>
  <c r="J77" i="32"/>
  <c r="I77"/>
  <c r="FA8" i="1" s="1"/>
  <c r="J22" i="32"/>
  <c r="J75" s="1"/>
  <c r="I22"/>
  <c r="I75" s="1"/>
  <c r="FA6" i="1" s="1"/>
  <c r="J18" i="32"/>
  <c r="I18"/>
  <c r="J15"/>
  <c r="I15"/>
  <c r="J9"/>
  <c r="J73" s="1"/>
  <c r="I9"/>
  <c r="EZ7" i="1"/>
  <c r="EZ9"/>
  <c r="I73" i="32" l="1"/>
  <c r="FA4" i="1" s="1"/>
  <c r="FA3" s="1"/>
  <c r="FA15" s="1"/>
  <c r="FA17" s="1"/>
  <c r="K78" i="32"/>
  <c r="FB4" i="1"/>
  <c r="FB3" s="1"/>
  <c r="FB15" s="1"/>
  <c r="FB17" s="1"/>
  <c r="I78" i="32"/>
  <c r="J78"/>
  <c r="H77"/>
  <c r="G77"/>
  <c r="EZ8" i="1" s="1"/>
  <c r="H37" i="32"/>
  <c r="H74" s="1"/>
  <c r="G37"/>
  <c r="G74" s="1"/>
  <c r="EZ5" i="1" s="1"/>
  <c r="H22" i="32"/>
  <c r="H75" s="1"/>
  <c r="G22"/>
  <c r="G75" s="1"/>
  <c r="EZ6" i="1" s="1"/>
  <c r="H18" i="32"/>
  <c r="G18"/>
  <c r="H15"/>
  <c r="G15"/>
  <c r="H9"/>
  <c r="H73" s="1"/>
  <c r="G9"/>
  <c r="G73" l="1"/>
  <c r="EZ4" i="1" s="1"/>
  <c r="EZ3" s="1"/>
  <c r="EZ15" s="1"/>
  <c r="EZ17" s="1"/>
  <c r="G78" i="32"/>
  <c r="H78"/>
  <c r="EY7" i="1" l="1"/>
  <c r="EY9"/>
  <c r="F77" i="32" l="1"/>
  <c r="E77"/>
  <c r="EY8" i="1" s="1"/>
  <c r="F37" i="32"/>
  <c r="F74" s="1"/>
  <c r="E37"/>
  <c r="E74" s="1"/>
  <c r="EY5" i="1" s="1"/>
  <c r="F22" i="32"/>
  <c r="F75" s="1"/>
  <c r="E22"/>
  <c r="E75" s="1"/>
  <c r="EY6" i="1" s="1"/>
  <c r="F18" i="32"/>
  <c r="E18"/>
  <c r="F15"/>
  <c r="E15"/>
  <c r="F9"/>
  <c r="F73" s="1"/>
  <c r="E9"/>
  <c r="E73" l="1"/>
  <c r="EY4" i="1" s="1"/>
  <c r="EY3" s="1"/>
  <c r="EY15" s="1"/>
  <c r="EY17" s="1"/>
  <c r="F78" i="32"/>
  <c r="EX7" i="1"/>
  <c r="EX9"/>
  <c r="E78" i="32" l="1"/>
  <c r="D77"/>
  <c r="C77"/>
  <c r="EX8" i="1" s="1"/>
  <c r="D37" i="32"/>
  <c r="D74" s="1"/>
  <c r="C37"/>
  <c r="C74" s="1"/>
  <c r="EX5" i="1" s="1"/>
  <c r="D22" i="32"/>
  <c r="D75" s="1"/>
  <c r="C22"/>
  <c r="C75" s="1"/>
  <c r="EX6" i="1" s="1"/>
  <c r="D18" i="32"/>
  <c r="C18"/>
  <c r="D15"/>
  <c r="C15"/>
  <c r="D9"/>
  <c r="D73" s="1"/>
  <c r="C9"/>
  <c r="AV70" i="31"/>
  <c r="AV75" s="1"/>
  <c r="AU70"/>
  <c r="AU75" s="1"/>
  <c r="EW8" i="1" s="1"/>
  <c r="AV36" i="31"/>
  <c r="AV72" s="1"/>
  <c r="AU36"/>
  <c r="AU72" s="1"/>
  <c r="EW5" i="1" s="1"/>
  <c r="AV22" i="31"/>
  <c r="AV73" s="1"/>
  <c r="AU22"/>
  <c r="AU73" s="1"/>
  <c r="EW6" i="1" s="1"/>
  <c r="AV18" i="31"/>
  <c r="AU18"/>
  <c r="AV15"/>
  <c r="AU15"/>
  <c r="AV9"/>
  <c r="AU9"/>
  <c r="AU71" s="1"/>
  <c r="EW7" i="1"/>
  <c r="EW9"/>
  <c r="AT70" i="31"/>
  <c r="AT75" s="1"/>
  <c r="AS70"/>
  <c r="AS75" s="1"/>
  <c r="EV8" i="1" s="1"/>
  <c r="AT36" i="31"/>
  <c r="AT72" s="1"/>
  <c r="AS36"/>
  <c r="AS72" s="1"/>
  <c r="EV5" i="1" s="1"/>
  <c r="AT22" i="31"/>
  <c r="AT73" s="1"/>
  <c r="AS22"/>
  <c r="AS73" s="1"/>
  <c r="EV6" i="1" s="1"/>
  <c r="AT18" i="31"/>
  <c r="AS18"/>
  <c r="AT15"/>
  <c r="AS15"/>
  <c r="AT9"/>
  <c r="AT71" s="1"/>
  <c r="AS9"/>
  <c r="AS71" s="1"/>
  <c r="EV7" i="1"/>
  <c r="EV9"/>
  <c r="AR70" i="31"/>
  <c r="AR75" s="1"/>
  <c r="AQ70"/>
  <c r="AQ75" s="1"/>
  <c r="EU8" i="1" s="1"/>
  <c r="AR36" i="31"/>
  <c r="AR72" s="1"/>
  <c r="AQ36"/>
  <c r="AQ72" s="1"/>
  <c r="EU5" i="1" s="1"/>
  <c r="AR22" i="31"/>
  <c r="AR73" s="1"/>
  <c r="AQ22"/>
  <c r="AQ73" s="1"/>
  <c r="EU6" i="1" s="1"/>
  <c r="AR18" i="31"/>
  <c r="AQ18"/>
  <c r="AR15"/>
  <c r="AQ15"/>
  <c r="AR9"/>
  <c r="AR71" s="1"/>
  <c r="AQ9"/>
  <c r="AQ71" s="1"/>
  <c r="EU7" i="1"/>
  <c r="EU9"/>
  <c r="C73" i="32" l="1"/>
  <c r="EX4" i="1" s="1"/>
  <c r="EX3" s="1"/>
  <c r="EX15" s="1"/>
  <c r="EX17" s="1"/>
  <c r="C78" i="32"/>
  <c r="D78"/>
  <c r="AV71" i="31"/>
  <c r="AV76"/>
  <c r="AU76"/>
  <c r="EW4" i="1"/>
  <c r="EW3" s="1"/>
  <c r="EW15" s="1"/>
  <c r="EW17" s="1"/>
  <c r="AT76" i="31"/>
  <c r="AS76"/>
  <c r="EV4" i="1"/>
  <c r="EV3" s="1"/>
  <c r="EV15" s="1"/>
  <c r="EV17" s="1"/>
  <c r="AQ76" i="31"/>
  <c r="EU4" i="1"/>
  <c r="EU3" s="1"/>
  <c r="EU15" s="1"/>
  <c r="EU17" s="1"/>
  <c r="AR76" i="31"/>
  <c r="ET7" i="1" l="1"/>
  <c r="AP70" i="31" l="1"/>
  <c r="AP75" s="1"/>
  <c r="AO70"/>
  <c r="AO75" s="1"/>
  <c r="ET8" i="1" s="1"/>
  <c r="AP36" i="31"/>
  <c r="AP72" s="1"/>
  <c r="AO36"/>
  <c r="AO72" s="1"/>
  <c r="ET5" i="1" s="1"/>
  <c r="AP22" i="31"/>
  <c r="AP73" s="1"/>
  <c r="AO22"/>
  <c r="AO73" s="1"/>
  <c r="ET6" i="1" s="1"/>
  <c r="AP18" i="31"/>
  <c r="AO18"/>
  <c r="AP15"/>
  <c r="AO15"/>
  <c r="AP9"/>
  <c r="AP71" s="1"/>
  <c r="AO9"/>
  <c r="AO71" s="1"/>
  <c r="ET4" i="1" s="1"/>
  <c r="ET3" s="1"/>
  <c r="ET9"/>
  <c r="ES7"/>
  <c r="ES9"/>
  <c r="ET15" l="1"/>
  <c r="ET17" s="1"/>
  <c r="AO76" i="31"/>
  <c r="AP76"/>
  <c r="AN70"/>
  <c r="AN75" s="1"/>
  <c r="AM70"/>
  <c r="AM75" s="1"/>
  <c r="ES8" i="1" s="1"/>
  <c r="AN36" i="31"/>
  <c r="AN72" s="1"/>
  <c r="AM36"/>
  <c r="AM72" s="1"/>
  <c r="ES5" i="1" s="1"/>
  <c r="AN22" i="31"/>
  <c r="AN73" s="1"/>
  <c r="AM22"/>
  <c r="AM73" s="1"/>
  <c r="ES6" i="1" s="1"/>
  <c r="AN18" i="31"/>
  <c r="AM18"/>
  <c r="AN15"/>
  <c r="AM15"/>
  <c r="AN9"/>
  <c r="AM9"/>
  <c r="AM71" l="1"/>
  <c r="ES4" i="1" s="1"/>
  <c r="ES3" s="1"/>
  <c r="ES15" s="1"/>
  <c r="ES17" s="1"/>
  <c r="AN71" i="31"/>
  <c r="AN76" s="1"/>
  <c r="ER7" i="1"/>
  <c r="AL70" i="31"/>
  <c r="AL75" s="1"/>
  <c r="AK70"/>
  <c r="AK75" s="1"/>
  <c r="ER8" i="1" s="1"/>
  <c r="AL36" i="31"/>
  <c r="AL72" s="1"/>
  <c r="AK36"/>
  <c r="AK72" s="1"/>
  <c r="ER5" i="1" s="1"/>
  <c r="AL22" i="31"/>
  <c r="AL73" s="1"/>
  <c r="AK22"/>
  <c r="AK73" s="1"/>
  <c r="ER6" i="1" s="1"/>
  <c r="AL18" i="31"/>
  <c r="AK18"/>
  <c r="AL15"/>
  <c r="AK15"/>
  <c r="AL9"/>
  <c r="AL71" s="1"/>
  <c r="AK9"/>
  <c r="ER9" i="1"/>
  <c r="EQ7"/>
  <c r="EQ9"/>
  <c r="AM76" i="31" l="1"/>
  <c r="AK71"/>
  <c r="AK76" s="1"/>
  <c r="ER4" i="1"/>
  <c r="ER3" s="1"/>
  <c r="ER15" s="1"/>
  <c r="ER17" s="1"/>
  <c r="AL76" i="31"/>
  <c r="AJ70"/>
  <c r="AJ75" s="1"/>
  <c r="AI70"/>
  <c r="AI75" s="1"/>
  <c r="EQ8" i="1" s="1"/>
  <c r="AJ36" i="31"/>
  <c r="AJ72" s="1"/>
  <c r="AI36"/>
  <c r="AI72" s="1"/>
  <c r="EQ5" i="1" s="1"/>
  <c r="AJ22" i="31"/>
  <c r="AJ73" s="1"/>
  <c r="AI22"/>
  <c r="AI73" s="1"/>
  <c r="EQ6" i="1" s="1"/>
  <c r="AJ18" i="31"/>
  <c r="AI18"/>
  <c r="AJ15"/>
  <c r="AI15"/>
  <c r="AJ9"/>
  <c r="AJ71" s="1"/>
  <c r="AI9"/>
  <c r="EP7" i="1"/>
  <c r="EP9"/>
  <c r="AI71" i="31" l="1"/>
  <c r="EQ4" i="1" s="1"/>
  <c r="EQ3" s="1"/>
  <c r="EQ15" s="1"/>
  <c r="EQ17" s="1"/>
  <c r="AJ76" i="31"/>
  <c r="EO7" i="1"/>
  <c r="EO9"/>
  <c r="AH70" i="31"/>
  <c r="AH75" s="1"/>
  <c r="AG70"/>
  <c r="AG75" s="1"/>
  <c r="EP8" i="1" s="1"/>
  <c r="AH36" i="31"/>
  <c r="AH72" s="1"/>
  <c r="AG36"/>
  <c r="AG72" s="1"/>
  <c r="EP5" i="1" s="1"/>
  <c r="AH22" i="31"/>
  <c r="AH73" s="1"/>
  <c r="AG22"/>
  <c r="AG73" s="1"/>
  <c r="EP6" i="1" s="1"/>
  <c r="AH18" i="31"/>
  <c r="AG18"/>
  <c r="AH15"/>
  <c r="AG15"/>
  <c r="AH9"/>
  <c r="AH71" s="1"/>
  <c r="AG9"/>
  <c r="AI76" l="1"/>
  <c r="AG71"/>
  <c r="AG76" s="1"/>
  <c r="AH76"/>
  <c r="EP4" i="1" l="1"/>
  <c r="EP3" s="1"/>
  <c r="EP15" s="1"/>
  <c r="EP17" s="1"/>
  <c r="AF70" i="31"/>
  <c r="AF75" s="1"/>
  <c r="AE70"/>
  <c r="AE75" s="1"/>
  <c r="EO8" i="1" s="1"/>
  <c r="AF36" i="31"/>
  <c r="AF72" s="1"/>
  <c r="AE36"/>
  <c r="AE72" s="1"/>
  <c r="EO5" i="1" s="1"/>
  <c r="AF22" i="31"/>
  <c r="AF73" s="1"/>
  <c r="AE22"/>
  <c r="AE73" s="1"/>
  <c r="EO6" i="1" s="1"/>
  <c r="AF18" i="31"/>
  <c r="AE18"/>
  <c r="AF15"/>
  <c r="AE15"/>
  <c r="AF9"/>
  <c r="AF71" s="1"/>
  <c r="AE9"/>
  <c r="AD70"/>
  <c r="AD75" s="1"/>
  <c r="AC70"/>
  <c r="AC75" s="1"/>
  <c r="EN8" i="1" s="1"/>
  <c r="AD36" i="31"/>
  <c r="AD72" s="1"/>
  <c r="AC36"/>
  <c r="AC72" s="1"/>
  <c r="EN5" i="1" s="1"/>
  <c r="AD22" i="31"/>
  <c r="AD73" s="1"/>
  <c r="AC22"/>
  <c r="AC73" s="1"/>
  <c r="EN6" i="1" s="1"/>
  <c r="AD18" i="31"/>
  <c r="AC18"/>
  <c r="AD15"/>
  <c r="AC15"/>
  <c r="AD9"/>
  <c r="AC9"/>
  <c r="EN7" i="1"/>
  <c r="EN9"/>
  <c r="AE71" i="31" l="1"/>
  <c r="AF76"/>
  <c r="AC71"/>
  <c r="AC76" s="1"/>
  <c r="AD71"/>
  <c r="AD76"/>
  <c r="AE76" l="1"/>
  <c r="EO4" i="1"/>
  <c r="EO3" s="1"/>
  <c r="EO15" s="1"/>
  <c r="EO17" s="1"/>
  <c r="EN4"/>
  <c r="EN3" s="1"/>
  <c r="EN15" s="1"/>
  <c r="EN17" s="1"/>
  <c r="EM7"/>
  <c r="EM9"/>
  <c r="AB70" i="31"/>
  <c r="AB75" s="1"/>
  <c r="AA70"/>
  <c r="AA75" s="1"/>
  <c r="EM8" i="1" s="1"/>
  <c r="AB36" i="31"/>
  <c r="AB72" s="1"/>
  <c r="AA36"/>
  <c r="AA72" s="1"/>
  <c r="EM5" i="1" s="1"/>
  <c r="AB22" i="31"/>
  <c r="AB73" s="1"/>
  <c r="AA22"/>
  <c r="AA73" s="1"/>
  <c r="EM6" i="1" s="1"/>
  <c r="AB18" i="31"/>
  <c r="AA18"/>
  <c r="AB15"/>
  <c r="AA15"/>
  <c r="AB9"/>
  <c r="AB71" s="1"/>
  <c r="AA9"/>
  <c r="Z70"/>
  <c r="Z75" s="1"/>
  <c r="Y70"/>
  <c r="Y75" s="1"/>
  <c r="EL8" i="1" s="1"/>
  <c r="Z36" i="31"/>
  <c r="Z72" s="1"/>
  <c r="Y36"/>
  <c r="Y72" s="1"/>
  <c r="EL5" i="1" s="1"/>
  <c r="Z22" i="31"/>
  <c r="Z73" s="1"/>
  <c r="Y22"/>
  <c r="Y73" s="1"/>
  <c r="EL6" i="1" s="1"/>
  <c r="Z18" i="31"/>
  <c r="Y18"/>
  <c r="Z15"/>
  <c r="Y15"/>
  <c r="Z9"/>
  <c r="Y9"/>
  <c r="EL7" i="1"/>
  <c r="EL9"/>
  <c r="EK7"/>
  <c r="EK9"/>
  <c r="AA71" i="31" l="1"/>
  <c r="EM4" i="1" s="1"/>
  <c r="EM3" s="1"/>
  <c r="EM15" s="1"/>
  <c r="EM17" s="1"/>
  <c r="AB76" i="31"/>
  <c r="AA76"/>
  <c r="Y71"/>
  <c r="EL4" i="1" s="1"/>
  <c r="EL3" s="1"/>
  <c r="EL15" s="1"/>
  <c r="EL17" s="1"/>
  <c r="Z71" i="31"/>
  <c r="Z76" s="1"/>
  <c r="Y76"/>
  <c r="X70" l="1"/>
  <c r="X75" s="1"/>
  <c r="W70"/>
  <c r="W75" s="1"/>
  <c r="EK8" i="1" s="1"/>
  <c r="X36" i="31"/>
  <c r="X72" s="1"/>
  <c r="W36"/>
  <c r="W72" s="1"/>
  <c r="EK5" i="1" s="1"/>
  <c r="X22" i="31"/>
  <c r="X73" s="1"/>
  <c r="W22"/>
  <c r="W73" s="1"/>
  <c r="EK6" i="1" s="1"/>
  <c r="X18" i="31"/>
  <c r="W18"/>
  <c r="X15"/>
  <c r="W15"/>
  <c r="X9"/>
  <c r="W9"/>
  <c r="W71" l="1"/>
  <c r="X71"/>
  <c r="X76" s="1"/>
  <c r="W76" l="1"/>
  <c r="EK4" i="1"/>
  <c r="EK3" s="1"/>
  <c r="EK15" s="1"/>
  <c r="EK17" s="1"/>
  <c r="EJ7"/>
  <c r="EJ9"/>
  <c r="V70" i="31"/>
  <c r="V75" s="1"/>
  <c r="U70"/>
  <c r="U75" s="1"/>
  <c r="EJ8" i="1" s="1"/>
  <c r="V36" i="31"/>
  <c r="V72" s="1"/>
  <c r="U36"/>
  <c r="U72" s="1"/>
  <c r="EJ5" i="1" s="1"/>
  <c r="V22" i="31"/>
  <c r="V73" s="1"/>
  <c r="U22"/>
  <c r="U73" s="1"/>
  <c r="EJ6" i="1" s="1"/>
  <c r="V18" i="31"/>
  <c r="U18"/>
  <c r="V15"/>
  <c r="U15"/>
  <c r="V9"/>
  <c r="V71" s="1"/>
  <c r="U9"/>
  <c r="EI7" i="1"/>
  <c r="EI9"/>
  <c r="S70" i="31"/>
  <c r="T70"/>
  <c r="U71" l="1"/>
  <c r="V76"/>
  <c r="U76" l="1"/>
  <c r="EJ4" i="1"/>
  <c r="EJ3" s="1"/>
  <c r="EJ15" s="1"/>
  <c r="EJ17" s="1"/>
  <c r="T75" i="31"/>
  <c r="S75"/>
  <c r="EI8" i="1" s="1"/>
  <c r="T36" i="31"/>
  <c r="T72" s="1"/>
  <c r="S36"/>
  <c r="S72" s="1"/>
  <c r="EI5" i="1" s="1"/>
  <c r="T22" i="31"/>
  <c r="T73" s="1"/>
  <c r="S22"/>
  <c r="S73" s="1"/>
  <c r="EI6" i="1" s="1"/>
  <c r="T18" i="31"/>
  <c r="S18"/>
  <c r="T15"/>
  <c r="S15"/>
  <c r="T9"/>
  <c r="T71" s="1"/>
  <c r="S9"/>
  <c r="S71" s="1"/>
  <c r="EH7" i="1"/>
  <c r="EH9"/>
  <c r="R70" i="31"/>
  <c r="R75" s="1"/>
  <c r="Q70"/>
  <c r="Q75" s="1"/>
  <c r="EH8" i="1" s="1"/>
  <c r="R36" i="31"/>
  <c r="R72" s="1"/>
  <c r="Q36"/>
  <c r="Q72" s="1"/>
  <c r="EH5" i="1" s="1"/>
  <c r="R22" i="31"/>
  <c r="R73" s="1"/>
  <c r="Q22"/>
  <c r="Q73" s="1"/>
  <c r="EH6" i="1" s="1"/>
  <c r="R18" i="31"/>
  <c r="Q18"/>
  <c r="R15"/>
  <c r="Q15"/>
  <c r="R9"/>
  <c r="Q9"/>
  <c r="Q71" s="1"/>
  <c r="EG7" i="1"/>
  <c r="EG9"/>
  <c r="P70" i="31"/>
  <c r="P75" s="1"/>
  <c r="O70"/>
  <c r="O75" s="1"/>
  <c r="P36"/>
  <c r="P72" s="1"/>
  <c r="O36"/>
  <c r="O72" s="1"/>
  <c r="EG5" i="1" s="1"/>
  <c r="P22" i="31"/>
  <c r="P73" s="1"/>
  <c r="O22"/>
  <c r="O73" s="1"/>
  <c r="EG6" i="1" s="1"/>
  <c r="P18" i="31"/>
  <c r="O18"/>
  <c r="P15"/>
  <c r="O15"/>
  <c r="P9"/>
  <c r="O9"/>
  <c r="O71" s="1"/>
  <c r="EG4" i="1" s="1"/>
  <c r="S76" i="31" l="1"/>
  <c r="EI4" i="1"/>
  <c r="EI3" s="1"/>
  <c r="EI15" s="1"/>
  <c r="EI17" s="1"/>
  <c r="T76" i="31"/>
  <c r="R71"/>
  <c r="R76" s="1"/>
  <c r="Q76"/>
  <c r="EH4" i="1"/>
  <c r="EH3" s="1"/>
  <c r="EH15" s="1"/>
  <c r="EH17" s="1"/>
  <c r="O76" i="31"/>
  <c r="EG8" i="1"/>
  <c r="EG3" s="1"/>
  <c r="EG15" s="1"/>
  <c r="EG17" s="1"/>
  <c r="P71" i="31"/>
  <c r="EF7" i="1"/>
  <c r="EF9"/>
  <c r="N70" i="31"/>
  <c r="N75" s="1"/>
  <c r="M70"/>
  <c r="M75" s="1"/>
  <c r="EF8" i="1" s="1"/>
  <c r="N36" i="31"/>
  <c r="N72" s="1"/>
  <c r="M36"/>
  <c r="M72" s="1"/>
  <c r="EF5" i="1" s="1"/>
  <c r="N22" i="31"/>
  <c r="N73" s="1"/>
  <c r="M22"/>
  <c r="M73" s="1"/>
  <c r="EF6" i="1" s="1"/>
  <c r="N18" i="31"/>
  <c r="M18"/>
  <c r="N15"/>
  <c r="M15"/>
  <c r="N9"/>
  <c r="N71" s="1"/>
  <c r="M9"/>
  <c r="M71" s="1"/>
  <c r="M76" s="1"/>
  <c r="P76" l="1"/>
  <c r="EF4" i="1"/>
  <c r="EF3" s="1"/>
  <c r="EF15" s="1"/>
  <c r="EF17" s="1"/>
  <c r="N76" i="31"/>
  <c r="EE7" i="1" l="1"/>
  <c r="EE9"/>
  <c r="L70" i="31"/>
  <c r="L75" s="1"/>
  <c r="K70"/>
  <c r="K75" s="1"/>
  <c r="EE8" i="1" s="1"/>
  <c r="L36" i="31"/>
  <c r="L72" s="1"/>
  <c r="K36"/>
  <c r="K72" s="1"/>
  <c r="EE5" i="1" s="1"/>
  <c r="L22" i="31"/>
  <c r="L73" s="1"/>
  <c r="K22"/>
  <c r="K73" s="1"/>
  <c r="EE6" i="1" s="1"/>
  <c r="L18" i="31"/>
  <c r="K18"/>
  <c r="L15"/>
  <c r="K15"/>
  <c r="L9"/>
  <c r="L71" s="1"/>
  <c r="K9"/>
  <c r="K71" l="1"/>
  <c r="K76"/>
  <c r="EE4" i="1"/>
  <c r="EE3" s="1"/>
  <c r="EE15" s="1"/>
  <c r="EE17" s="1"/>
  <c r="L76" i="31"/>
  <c r="J70"/>
  <c r="J75" s="1"/>
  <c r="I70"/>
  <c r="I75" s="1"/>
  <c r="ED8" i="1" s="1"/>
  <c r="J36" i="31"/>
  <c r="J72" s="1"/>
  <c r="I36"/>
  <c r="I72" s="1"/>
  <c r="ED5" i="1" s="1"/>
  <c r="J22" i="31"/>
  <c r="J73" s="1"/>
  <c r="I22"/>
  <c r="I73" s="1"/>
  <c r="ED6" i="1" s="1"/>
  <c r="J18" i="31"/>
  <c r="I18"/>
  <c r="J15"/>
  <c r="I15"/>
  <c r="J9"/>
  <c r="I9"/>
  <c r="I71" s="1"/>
  <c r="ED7" i="1"/>
  <c r="ED9"/>
  <c r="J71" i="31" l="1"/>
  <c r="J76"/>
  <c r="I76"/>
  <c r="ED4" i="1"/>
  <c r="ED3" s="1"/>
  <c r="ED15" s="1"/>
  <c r="ED17" s="1"/>
  <c r="EC7" l="1"/>
  <c r="H18" i="31"/>
  <c r="EC9" i="1" l="1"/>
  <c r="H70" i="31"/>
  <c r="H75" s="1"/>
  <c r="G70"/>
  <c r="G75" s="1"/>
  <c r="EC8" i="1" s="1"/>
  <c r="H36" i="31"/>
  <c r="H72" s="1"/>
  <c r="G36"/>
  <c r="G72" s="1"/>
  <c r="EC5" i="1" s="1"/>
  <c r="H22" i="31"/>
  <c r="H73" s="1"/>
  <c r="G22"/>
  <c r="G73" s="1"/>
  <c r="EC6" i="1" s="1"/>
  <c r="G18" i="31"/>
  <c r="H15"/>
  <c r="G15"/>
  <c r="H9"/>
  <c r="H71" s="1"/>
  <c r="G9"/>
  <c r="G71" s="1"/>
  <c r="EC4" i="1" s="1"/>
  <c r="EB7"/>
  <c r="EC3" l="1"/>
  <c r="EC15" s="1"/>
  <c r="EC17" s="1"/>
  <c r="G76" i="31"/>
  <c r="H76"/>
  <c r="F70"/>
  <c r="F75" s="1"/>
  <c r="E70"/>
  <c r="E75" s="1"/>
  <c r="EB8" i="1" s="1"/>
  <c r="F36" i="31"/>
  <c r="F72" s="1"/>
  <c r="E36"/>
  <c r="E72" s="1"/>
  <c r="EB5" i="1" s="1"/>
  <c r="F22" i="31"/>
  <c r="F73" s="1"/>
  <c r="E22"/>
  <c r="E73" s="1"/>
  <c r="EB6" i="1" s="1"/>
  <c r="E18" i="31"/>
  <c r="F15"/>
  <c r="E15"/>
  <c r="F9"/>
  <c r="F71" s="1"/>
  <c r="E9"/>
  <c r="EB9" i="1"/>
  <c r="E71" i="31" l="1"/>
  <c r="F76"/>
  <c r="E76" l="1"/>
  <c r="EB4" i="1"/>
  <c r="EB3" s="1"/>
  <c r="EA7"/>
  <c r="EA9" l="1"/>
  <c r="D70" i="31"/>
  <c r="D75" s="1"/>
  <c r="C70"/>
  <c r="C75" s="1"/>
  <c r="EA8" i="1" s="1"/>
  <c r="D36" i="31"/>
  <c r="D72" s="1"/>
  <c r="C36"/>
  <c r="C72" s="1"/>
  <c r="EA5" i="1" s="1"/>
  <c r="D22" i="31"/>
  <c r="D73" s="1"/>
  <c r="C22"/>
  <c r="C73" s="1"/>
  <c r="EA6" i="1" s="1"/>
  <c r="C18" i="31"/>
  <c r="D15"/>
  <c r="C15"/>
  <c r="D9"/>
  <c r="D71" s="1"/>
  <c r="EB15" i="1" s="1"/>
  <c r="EB17" s="1"/>
  <c r="C9" i="31"/>
  <c r="C71" s="1"/>
  <c r="EA4" i="1" s="1"/>
  <c r="DZ7"/>
  <c r="DZ9"/>
  <c r="AR70" i="30"/>
  <c r="AR75" s="1"/>
  <c r="AQ70"/>
  <c r="AQ75" s="1"/>
  <c r="DZ8" i="1" s="1"/>
  <c r="AR36" i="30"/>
  <c r="AR72" s="1"/>
  <c r="AQ36"/>
  <c r="AQ72" s="1"/>
  <c r="DZ5" i="1" s="1"/>
  <c r="AR22" i="30"/>
  <c r="AR73" s="1"/>
  <c r="AQ22"/>
  <c r="AQ73" s="1"/>
  <c r="DZ6" i="1" s="1"/>
  <c r="AQ18" i="30"/>
  <c r="AR15"/>
  <c r="AQ15"/>
  <c r="AR9"/>
  <c r="AR71" s="1"/>
  <c r="AQ9"/>
  <c r="AP70"/>
  <c r="AP75" s="1"/>
  <c r="AO70"/>
  <c r="AO75" s="1"/>
  <c r="DY8" i="1" s="1"/>
  <c r="AP36" i="30"/>
  <c r="AP72" s="1"/>
  <c r="AO36"/>
  <c r="AO72" s="1"/>
  <c r="DY5" i="1" s="1"/>
  <c r="AP22" i="30"/>
  <c r="AP73" s="1"/>
  <c r="AO22"/>
  <c r="AO73" s="1"/>
  <c r="DY6" i="1" s="1"/>
  <c r="AO18" i="30"/>
  <c r="AP15"/>
  <c r="AO15"/>
  <c r="AP9"/>
  <c r="AP71" s="1"/>
  <c r="AO9"/>
  <c r="AO71" s="1"/>
  <c r="DY7" i="1"/>
  <c r="DY9"/>
  <c r="EA3" l="1"/>
  <c r="EA15" s="1"/>
  <c r="EA17" s="1"/>
  <c r="C76" i="31"/>
  <c r="D76"/>
  <c r="AQ71" i="30"/>
  <c r="DZ4" i="1" s="1"/>
  <c r="DZ3" s="1"/>
  <c r="DZ15" s="1"/>
  <c r="DZ17" s="1"/>
  <c r="AR76" i="30"/>
  <c r="AP76"/>
  <c r="AO76"/>
  <c r="DY4" i="1"/>
  <c r="DY3" s="1"/>
  <c r="DY15" s="1"/>
  <c r="DY17" s="1"/>
  <c r="AQ76" i="30" l="1"/>
  <c r="DX7" i="1"/>
  <c r="DX9"/>
  <c r="AN70" i="30" l="1"/>
  <c r="AN75" s="1"/>
  <c r="AM70"/>
  <c r="AM75" s="1"/>
  <c r="DX8" i="1" s="1"/>
  <c r="AN36" i="30"/>
  <c r="AN72" s="1"/>
  <c r="AM36"/>
  <c r="AM72" s="1"/>
  <c r="DX5" i="1" s="1"/>
  <c r="AN22" i="30"/>
  <c r="AN73" s="1"/>
  <c r="AM22"/>
  <c r="AM73" s="1"/>
  <c r="DX6" i="1" s="1"/>
  <c r="AM18" i="30"/>
  <c r="AN15"/>
  <c r="AM15"/>
  <c r="AN9"/>
  <c r="AN71" s="1"/>
  <c r="AM9"/>
  <c r="AL70"/>
  <c r="AL75" s="1"/>
  <c r="AK70"/>
  <c r="AK75" s="1"/>
  <c r="AL36"/>
  <c r="AL72" s="1"/>
  <c r="AK36"/>
  <c r="AK72" s="1"/>
  <c r="AL22"/>
  <c r="AL73" s="1"/>
  <c r="AK22"/>
  <c r="AK73" s="1"/>
  <c r="AK18"/>
  <c r="AL15"/>
  <c r="AK15"/>
  <c r="AL9"/>
  <c r="AL71" s="1"/>
  <c r="AK9"/>
  <c r="AM71" l="1"/>
  <c r="AN76"/>
  <c r="AK71"/>
  <c r="AK76" s="1"/>
  <c r="AL76"/>
  <c r="AM76" l="1"/>
  <c r="DX4" i="1"/>
  <c r="DX3" s="1"/>
  <c r="DX15" s="1"/>
  <c r="DX17" s="1"/>
  <c r="DW4"/>
  <c r="DW5"/>
  <c r="DW6"/>
  <c r="DW7"/>
  <c r="DW8"/>
  <c r="DW9"/>
  <c r="DV7"/>
  <c r="DV9"/>
  <c r="AI70" i="30"/>
  <c r="AI75" s="1"/>
  <c r="DV8" i="1" s="1"/>
  <c r="AJ70" i="30"/>
  <c r="AJ75" s="1"/>
  <c r="AJ36"/>
  <c r="AJ72" s="1"/>
  <c r="AI27"/>
  <c r="AI36" s="1"/>
  <c r="AI72" s="1"/>
  <c r="DV5" i="1" s="1"/>
  <c r="AJ22" i="30"/>
  <c r="AJ73" s="1"/>
  <c r="AI22"/>
  <c r="AI73" s="1"/>
  <c r="DV6" i="1" s="1"/>
  <c r="AI18" i="30"/>
  <c r="AJ15"/>
  <c r="AI15"/>
  <c r="AJ9"/>
  <c r="AJ71" s="1"/>
  <c r="AI9"/>
  <c r="DW3" i="1" l="1"/>
  <c r="DW15" s="1"/>
  <c r="DW17" s="1"/>
  <c r="AI71" i="30"/>
  <c r="AJ76"/>
  <c r="AI76" l="1"/>
  <c r="DV4" i="1"/>
  <c r="DV3" s="1"/>
  <c r="DV15" s="1"/>
  <c r="DV17" s="1"/>
  <c r="AG27" i="30"/>
  <c r="AH70" l="1"/>
  <c r="AH75" s="1"/>
  <c r="AG70"/>
  <c r="AG75" s="1"/>
  <c r="DU8" i="1" s="1"/>
  <c r="AH36" i="30"/>
  <c r="AH72" s="1"/>
  <c r="AG36"/>
  <c r="AG72" s="1"/>
  <c r="DU5" i="1" s="1"/>
  <c r="AH22" i="30"/>
  <c r="AH73" s="1"/>
  <c r="AG22"/>
  <c r="AG73" s="1"/>
  <c r="DU6" i="1" s="1"/>
  <c r="AG18" i="30"/>
  <c r="AH15"/>
  <c r="AG15"/>
  <c r="AH9"/>
  <c r="AH71" s="1"/>
  <c r="AG9"/>
  <c r="AG71" s="1"/>
  <c r="DU7" i="1"/>
  <c r="DU9"/>
  <c r="AG76" i="30" l="1"/>
  <c r="DU4" i="1"/>
  <c r="DU3" s="1"/>
  <c r="DU15" s="1"/>
  <c r="DU17" s="1"/>
  <c r="AH76" i="30"/>
  <c r="AE27" l="1"/>
  <c r="DT7" i="1" l="1"/>
  <c r="DT9"/>
  <c r="AF70" i="30" l="1"/>
  <c r="AF75" s="1"/>
  <c r="AE70"/>
  <c r="AE75" s="1"/>
  <c r="DT8" i="1" s="1"/>
  <c r="AF36" i="30"/>
  <c r="AF72" s="1"/>
  <c r="AE36"/>
  <c r="AE72" s="1"/>
  <c r="DT5" i="1" s="1"/>
  <c r="AF22" i="30"/>
  <c r="AF73" s="1"/>
  <c r="AE22"/>
  <c r="AE73" s="1"/>
  <c r="DT6" i="1" s="1"/>
  <c r="AE18" i="30"/>
  <c r="AF15"/>
  <c r="AE15"/>
  <c r="AF9"/>
  <c r="AF71" s="1"/>
  <c r="AE9"/>
  <c r="AC27"/>
  <c r="AE71" l="1"/>
  <c r="AE76" s="1"/>
  <c r="DT4" i="1"/>
  <c r="DT3" s="1"/>
  <c r="DT15" s="1"/>
  <c r="DT17" s="1"/>
  <c r="AF76" i="30"/>
  <c r="AD70"/>
  <c r="AD75" s="1"/>
  <c r="AC70"/>
  <c r="AC75" s="1"/>
  <c r="DS8" i="1" s="1"/>
  <c r="AD36" i="30"/>
  <c r="AD72" s="1"/>
  <c r="AC36"/>
  <c r="AC72" s="1"/>
  <c r="DS5" i="1" s="1"/>
  <c r="AD22" i="30"/>
  <c r="AD73" s="1"/>
  <c r="AC22"/>
  <c r="AC73" s="1"/>
  <c r="DS6" i="1" s="1"/>
  <c r="AC18" i="30"/>
  <c r="AD15"/>
  <c r="AC15"/>
  <c r="AD9"/>
  <c r="AD71" s="1"/>
  <c r="AC9"/>
  <c r="AC71" s="1"/>
  <c r="DS7" i="1"/>
  <c r="DS9"/>
  <c r="AD76" i="30" l="1"/>
  <c r="AC76"/>
  <c r="DS4" i="1"/>
  <c r="DS3" s="1"/>
  <c r="DS15" s="1"/>
  <c r="DS17" s="1"/>
  <c r="DR7"/>
  <c r="DR9"/>
  <c r="AB36" i="30"/>
  <c r="AA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B70" l="1"/>
  <c r="AB75" s="1"/>
  <c r="AA70"/>
  <c r="AA75" s="1"/>
  <c r="DR8" i="1" s="1"/>
  <c r="AB72" i="30"/>
  <c r="AA72"/>
  <c r="DR5" i="1" s="1"/>
  <c r="AB22" i="30"/>
  <c r="AB73" s="1"/>
  <c r="AA22"/>
  <c r="AA73" s="1"/>
  <c r="DR6" i="1" s="1"/>
  <c r="AA18" i="30"/>
  <c r="AB15"/>
  <c r="AA15"/>
  <c r="AB9"/>
  <c r="AB71" s="1"/>
  <c r="AA9"/>
  <c r="AA71" l="1"/>
  <c r="DR4" i="1" s="1"/>
  <c r="DR3" s="1"/>
  <c r="DR15" s="1"/>
  <c r="DR17" s="1"/>
  <c r="AB76" i="30"/>
  <c r="DQ7" i="1"/>
  <c r="AA76" i="30" l="1"/>
  <c r="Z70"/>
  <c r="Z75" s="1"/>
  <c r="Y70"/>
  <c r="Y75" s="1"/>
  <c r="DQ8" i="1" s="1"/>
  <c r="Z72" i="30"/>
  <c r="Y72"/>
  <c r="DQ5" i="1" s="1"/>
  <c r="Z22" i="30"/>
  <c r="Z73" s="1"/>
  <c r="Y22"/>
  <c r="Y73" s="1"/>
  <c r="DQ6" i="1" s="1"/>
  <c r="Y18" i="30"/>
  <c r="Z15"/>
  <c r="Y15"/>
  <c r="Z9"/>
  <c r="Z71" s="1"/>
  <c r="Y9"/>
  <c r="DQ9" i="1"/>
  <c r="DP7"/>
  <c r="DP9"/>
  <c r="Y71" i="30" l="1"/>
  <c r="Y76" s="1"/>
  <c r="Z76"/>
  <c r="X70"/>
  <c r="X75" s="1"/>
  <c r="W70"/>
  <c r="W75" s="1"/>
  <c r="DP8" i="1" s="1"/>
  <c r="X72" i="30"/>
  <c r="W72"/>
  <c r="DP5" i="1" s="1"/>
  <c r="X22" i="30"/>
  <c r="X73" s="1"/>
  <c r="W22"/>
  <c r="W73" s="1"/>
  <c r="DP6" i="1" s="1"/>
  <c r="W18" i="30"/>
  <c r="X15"/>
  <c r="W15"/>
  <c r="X9"/>
  <c r="X71" s="1"/>
  <c r="W9"/>
  <c r="DO9" i="1"/>
  <c r="DQ4" l="1"/>
  <c r="DQ3" s="1"/>
  <c r="DQ15" s="1"/>
  <c r="DQ17" s="1"/>
  <c r="W71" i="30"/>
  <c r="X76"/>
  <c r="DO7" i="1"/>
  <c r="W76" i="30" l="1"/>
  <c r="DP4" i="1"/>
  <c r="DP3" s="1"/>
  <c r="DP15" s="1"/>
  <c r="DP17" s="1"/>
  <c r="V70" i="30"/>
  <c r="V75" s="1"/>
  <c r="U70"/>
  <c r="U75" s="1"/>
  <c r="DO8" i="1" s="1"/>
  <c r="V72" i="30"/>
  <c r="U72"/>
  <c r="DO5" i="1" s="1"/>
  <c r="V22" i="30"/>
  <c r="V73" s="1"/>
  <c r="U22"/>
  <c r="U73" s="1"/>
  <c r="DO6" i="1" s="1"/>
  <c r="U18" i="30"/>
  <c r="V15"/>
  <c r="U15"/>
  <c r="V9"/>
  <c r="V71" s="1"/>
  <c r="U9"/>
  <c r="DN7" i="1"/>
  <c r="T70" i="30"/>
  <c r="T75" s="1"/>
  <c r="S70"/>
  <c r="S75" s="1"/>
  <c r="DN8" i="1" s="1"/>
  <c r="T72" i="30"/>
  <c r="S72"/>
  <c r="DN5" i="1" s="1"/>
  <c r="T22" i="30"/>
  <c r="T73" s="1"/>
  <c r="S22"/>
  <c r="S73" s="1"/>
  <c r="DN6" i="1" s="1"/>
  <c r="S18" i="30"/>
  <c r="T15"/>
  <c r="S15"/>
  <c r="T9"/>
  <c r="S9"/>
  <c r="S71" s="1"/>
  <c r="DN4" i="1" s="1"/>
  <c r="DN9"/>
  <c r="DN3" l="1"/>
  <c r="DN15" s="1"/>
  <c r="DN17" s="1"/>
  <c r="U71" i="30"/>
  <c r="DO4" i="1" s="1"/>
  <c r="DO3" s="1"/>
  <c r="DO15" s="1"/>
  <c r="DO17" s="1"/>
  <c r="V76" i="30"/>
  <c r="U76"/>
  <c r="T71"/>
  <c r="T76"/>
  <c r="S76"/>
  <c r="R70" l="1"/>
  <c r="R75" s="1"/>
  <c r="Q70"/>
  <c r="Q75" s="1"/>
  <c r="R72"/>
  <c r="Q72"/>
  <c r="DM5" i="1" s="1"/>
  <c r="R22" i="30"/>
  <c r="R73" s="1"/>
  <c r="Q22"/>
  <c r="Q73" s="1"/>
  <c r="DM6" i="1" s="1"/>
  <c r="Q18" i="30"/>
  <c r="R15"/>
  <c r="Q15"/>
  <c r="R9"/>
  <c r="R71" s="1"/>
  <c r="Q9"/>
  <c r="Q71" s="1"/>
  <c r="DM7" i="1"/>
  <c r="DM9"/>
  <c r="DL7"/>
  <c r="DL9"/>
  <c r="DM8" l="1"/>
  <c r="R76" i="30"/>
  <c r="Q76"/>
  <c r="DM4" i="1"/>
  <c r="P70" i="30"/>
  <c r="P75" s="1"/>
  <c r="O70"/>
  <c r="O75" s="1"/>
  <c r="DL8" i="1" s="1"/>
  <c r="P72" i="30"/>
  <c r="O72"/>
  <c r="DL5" i="1" s="1"/>
  <c r="P22" i="30"/>
  <c r="P73" s="1"/>
  <c r="O22"/>
  <c r="O73" s="1"/>
  <c r="DL6" i="1" s="1"/>
  <c r="O18" i="30"/>
  <c r="P15"/>
  <c r="O15"/>
  <c r="P9"/>
  <c r="P71" s="1"/>
  <c r="O9"/>
  <c r="DK7" i="1"/>
  <c r="DM3" l="1"/>
  <c r="DM15" s="1"/>
  <c r="DM17" s="1"/>
  <c r="O71" i="30"/>
  <c r="P76"/>
  <c r="DK9" i="1"/>
  <c r="O76" i="30" l="1"/>
  <c r="DL4" i="1"/>
  <c r="DL3" s="1"/>
  <c r="DL15" s="1"/>
  <c r="DL17" s="1"/>
  <c r="N70" i="30"/>
  <c r="N75" s="1"/>
  <c r="M70"/>
  <c r="M75" s="1"/>
  <c r="DK8" i="1" s="1"/>
  <c r="N72" i="30"/>
  <c r="M72"/>
  <c r="DK5" i="1" s="1"/>
  <c r="N22" i="30"/>
  <c r="N73" s="1"/>
  <c r="M22"/>
  <c r="M73" s="1"/>
  <c r="DK6" i="1" s="1"/>
  <c r="M18" i="30"/>
  <c r="N15"/>
  <c r="M15"/>
  <c r="N9"/>
  <c r="N71" s="1"/>
  <c r="M9"/>
  <c r="CX24" i="1"/>
  <c r="CY24" s="1"/>
  <c r="CW24"/>
  <c r="DJ7"/>
  <c r="DJ9"/>
  <c r="L70" i="30"/>
  <c r="L75" s="1"/>
  <c r="K70"/>
  <c r="K75" s="1"/>
  <c r="L72"/>
  <c r="K72"/>
  <c r="DJ5" i="1" s="1"/>
  <c r="L22" i="30"/>
  <c r="L73" s="1"/>
  <c r="K22"/>
  <c r="K73" s="1"/>
  <c r="DJ6" i="1" s="1"/>
  <c r="K18" i="30"/>
  <c r="L15"/>
  <c r="K15"/>
  <c r="L9"/>
  <c r="L71" s="1"/>
  <c r="K9"/>
  <c r="K71" s="1"/>
  <c r="DJ4" i="1" s="1"/>
  <c r="M71" i="30" l="1"/>
  <c r="DK4" i="1" s="1"/>
  <c r="DK3" s="1"/>
  <c r="DK15" s="1"/>
  <c r="DK17" s="1"/>
  <c r="M76" i="30"/>
  <c r="N76"/>
  <c r="DJ8" i="1"/>
  <c r="DJ3" s="1"/>
  <c r="DJ15" s="1"/>
  <c r="DJ17" s="1"/>
  <c r="L76" i="30"/>
  <c r="K76"/>
  <c r="DI7" i="1" l="1"/>
  <c r="DI9"/>
  <c r="J70" i="30" l="1"/>
  <c r="J75" s="1"/>
  <c r="I70"/>
  <c r="I75" s="1"/>
  <c r="DI8" i="1" s="1"/>
  <c r="J72" i="30"/>
  <c r="I72"/>
  <c r="DI5" i="1" s="1"/>
  <c r="J22" i="30"/>
  <c r="J73" s="1"/>
  <c r="I22"/>
  <c r="I73" s="1"/>
  <c r="DI6" i="1" s="1"/>
  <c r="I18" i="30"/>
  <c r="J15"/>
  <c r="I15"/>
  <c r="J9"/>
  <c r="J71" s="1"/>
  <c r="I9"/>
  <c r="I71" s="1"/>
  <c r="DI4" i="1" s="1"/>
  <c r="DI3" l="1"/>
  <c r="DI15" s="1"/>
  <c r="DI17" s="1"/>
  <c r="I76" i="30"/>
  <c r="J76"/>
  <c r="DH7" i="1" l="1"/>
  <c r="H70" i="30" l="1"/>
  <c r="H75" s="1"/>
  <c r="G70"/>
  <c r="G75" s="1"/>
  <c r="DH8" i="1" s="1"/>
  <c r="H72" i="30"/>
  <c r="G72"/>
  <c r="DH5" i="1" s="1"/>
  <c r="H22" i="30"/>
  <c r="H73" s="1"/>
  <c r="G22"/>
  <c r="G73" s="1"/>
  <c r="DH6" i="1" s="1"/>
  <c r="H18" i="30"/>
  <c r="G18"/>
  <c r="H15"/>
  <c r="G15"/>
  <c r="H9"/>
  <c r="G9"/>
  <c r="DH9" i="1"/>
  <c r="DG7"/>
  <c r="DG9"/>
  <c r="H71" i="30" l="1"/>
  <c r="H76" s="1"/>
  <c r="G71"/>
  <c r="DH4" i="1" s="1"/>
  <c r="DH3" s="1"/>
  <c r="DH15" s="1"/>
  <c r="DH17" s="1"/>
  <c r="G76" i="30" l="1"/>
  <c r="F70"/>
  <c r="F75" s="1"/>
  <c r="E70"/>
  <c r="E75" s="1"/>
  <c r="DG8" i="1" s="1"/>
  <c r="F72" i="30"/>
  <c r="E72"/>
  <c r="DG5" i="1" s="1"/>
  <c r="F22" i="30"/>
  <c r="F73" s="1"/>
  <c r="E22"/>
  <c r="E73" s="1"/>
  <c r="DG6" i="1" s="1"/>
  <c r="F18" i="30"/>
  <c r="F74" s="1"/>
  <c r="E18"/>
  <c r="F15"/>
  <c r="E15"/>
  <c r="F9"/>
  <c r="F71" s="1"/>
  <c r="E9"/>
  <c r="E71" l="1"/>
  <c r="F76"/>
  <c r="DF7" i="1"/>
  <c r="DF9"/>
  <c r="D70" i="30"/>
  <c r="D75" s="1"/>
  <c r="C70"/>
  <c r="C75" s="1"/>
  <c r="DF8" i="1" s="1"/>
  <c r="D72" i="30"/>
  <c r="C72"/>
  <c r="DF5" i="1" s="1"/>
  <c r="D22" i="30"/>
  <c r="D73" s="1"/>
  <c r="C22"/>
  <c r="C73" s="1"/>
  <c r="DF6" i="1" s="1"/>
  <c r="D18" i="30"/>
  <c r="D74" s="1"/>
  <c r="C18"/>
  <c r="D15"/>
  <c r="C15"/>
  <c r="D9"/>
  <c r="D71" s="1"/>
  <c r="C9"/>
  <c r="DE7" i="1"/>
  <c r="DE9"/>
  <c r="AV63" i="29"/>
  <c r="AV68" s="1"/>
  <c r="AU63"/>
  <c r="AV32"/>
  <c r="AV65" s="1"/>
  <c r="AU32"/>
  <c r="AU65" s="1"/>
  <c r="DE5" i="1" s="1"/>
  <c r="AV22" i="29"/>
  <c r="AV66" s="1"/>
  <c r="AU22"/>
  <c r="AU66" s="1"/>
  <c r="DE6" i="1" s="1"/>
  <c r="AV18" i="29"/>
  <c r="AV67" s="1"/>
  <c r="AU18"/>
  <c r="AV15"/>
  <c r="AU15"/>
  <c r="AV9"/>
  <c r="AV64" s="1"/>
  <c r="AU9"/>
  <c r="DD9" i="1"/>
  <c r="E76" i="30" l="1"/>
  <c r="DG4" i="1"/>
  <c r="DG3" s="1"/>
  <c r="DG15" s="1"/>
  <c r="DG17" s="1"/>
  <c r="C71" i="30"/>
  <c r="C76" s="1"/>
  <c r="D76"/>
  <c r="AU64" i="29"/>
  <c r="AU69" s="1"/>
  <c r="AU68"/>
  <c r="DE8" i="1" s="1"/>
  <c r="DE4"/>
  <c r="AV69" i="29"/>
  <c r="DE3" i="1" l="1"/>
  <c r="DE15" s="1"/>
  <c r="DE17" s="1"/>
  <c r="DF4"/>
  <c r="DF3" s="1"/>
  <c r="DF15" s="1"/>
  <c r="DF17" s="1"/>
  <c r="AT63" i="29"/>
  <c r="AT68" s="1"/>
  <c r="AS63"/>
  <c r="AS68" s="1"/>
  <c r="DD8" i="1" s="1"/>
  <c r="AT32" i="29"/>
  <c r="AT65" s="1"/>
  <c r="AS32"/>
  <c r="AS65" s="1"/>
  <c r="DD5" i="1" s="1"/>
  <c r="AT22" i="29"/>
  <c r="AT66" s="1"/>
  <c r="AS22"/>
  <c r="AS66" s="1"/>
  <c r="DD6" i="1" s="1"/>
  <c r="AT18" i="29"/>
  <c r="AT67" s="1"/>
  <c r="AS18"/>
  <c r="AT15"/>
  <c r="AS15"/>
  <c r="AT9"/>
  <c r="AS9"/>
  <c r="AS64" s="1"/>
  <c r="DD7" i="1"/>
  <c r="AR63" i="29"/>
  <c r="AR68" s="1"/>
  <c r="AQ63"/>
  <c r="AQ68" s="1"/>
  <c r="DC8" i="1" s="1"/>
  <c r="AR32" i="29"/>
  <c r="AR65" s="1"/>
  <c r="AQ32"/>
  <c r="AQ65" s="1"/>
  <c r="DC5" i="1" s="1"/>
  <c r="AR22" i="29"/>
  <c r="AR66" s="1"/>
  <c r="AQ22"/>
  <c r="AQ66" s="1"/>
  <c r="DC6" i="1" s="1"/>
  <c r="AR18" i="29"/>
  <c r="AR67" s="1"/>
  <c r="AQ18"/>
  <c r="AR15"/>
  <c r="AQ15"/>
  <c r="AR9"/>
  <c r="AQ9"/>
  <c r="AQ64" s="1"/>
  <c r="DC7" i="1"/>
  <c r="DC9"/>
  <c r="DB7"/>
  <c r="DB9"/>
  <c r="AT64" i="29" l="1"/>
  <c r="AT69" s="1"/>
  <c r="DD4" i="1"/>
  <c r="DD3" s="1"/>
  <c r="DD15" s="1"/>
  <c r="DD17" s="1"/>
  <c r="AS69" i="29"/>
  <c r="AR64"/>
  <c r="AR69" s="1"/>
  <c r="AQ69"/>
  <c r="DC4" i="1"/>
  <c r="DC3" s="1"/>
  <c r="DC15" s="1"/>
  <c r="DC17" s="1"/>
  <c r="AP63" i="29" l="1"/>
  <c r="AP68" s="1"/>
  <c r="AO63"/>
  <c r="AO68" s="1"/>
  <c r="DB8" i="1" s="1"/>
  <c r="AP32" i="29"/>
  <c r="AP65" s="1"/>
  <c r="AO32"/>
  <c r="AO65" s="1"/>
  <c r="DB5" i="1" s="1"/>
  <c r="AP22" i="29"/>
  <c r="AP66" s="1"/>
  <c r="AO22"/>
  <c r="AO66" s="1"/>
  <c r="DB6" i="1" s="1"/>
  <c r="AP18" i="29"/>
  <c r="AP67" s="1"/>
  <c r="AO18"/>
  <c r="AP15"/>
  <c r="AO15"/>
  <c r="AP9"/>
  <c r="AP64" s="1"/>
  <c r="AP69" s="1"/>
  <c r="AO9"/>
  <c r="AO64" s="1"/>
  <c r="DB4" i="1" s="1"/>
  <c r="DB3" s="1"/>
  <c r="DB15" s="1"/>
  <c r="DB17" s="1"/>
  <c r="AO69" i="29" l="1"/>
  <c r="DA7" i="1"/>
  <c r="CZ7"/>
  <c r="AK9" i="29"/>
  <c r="AL9"/>
  <c r="AK15"/>
  <c r="AL15"/>
  <c r="AK18"/>
  <c r="AL18"/>
  <c r="AL67" s="1"/>
  <c r="AK22"/>
  <c r="AL22"/>
  <c r="AK32"/>
  <c r="AL32"/>
  <c r="AK63"/>
  <c r="AL63"/>
  <c r="AL68" s="1"/>
  <c r="AK64"/>
  <c r="CZ4" i="1" s="1"/>
  <c r="AL64" i="29"/>
  <c r="AK65"/>
  <c r="CZ5" i="1" s="1"/>
  <c r="AL65" i="29"/>
  <c r="AK66"/>
  <c r="CZ6" i="1" s="1"/>
  <c r="AL66" i="29"/>
  <c r="AK68"/>
  <c r="CZ8" i="1" s="1"/>
  <c r="AK69" i="29" l="1"/>
  <c r="AL69"/>
  <c r="CZ3" i="1"/>
  <c r="DA9" l="1"/>
  <c r="AN63" i="29" l="1"/>
  <c r="AN68" s="1"/>
  <c r="AM63"/>
  <c r="AM68" s="1"/>
  <c r="DA8" i="1" s="1"/>
  <c r="AN32" i="29"/>
  <c r="AN65" s="1"/>
  <c r="AM32"/>
  <c r="AM65" s="1"/>
  <c r="DA5" i="1" s="1"/>
  <c r="AN22" i="29"/>
  <c r="AN66" s="1"/>
  <c r="AM22"/>
  <c r="AM66" s="1"/>
  <c r="DA6" i="1" s="1"/>
  <c r="AN18" i="29"/>
  <c r="AN67" s="1"/>
  <c r="AM18"/>
  <c r="AN15"/>
  <c r="AM15"/>
  <c r="AN9"/>
  <c r="AN64" s="1"/>
  <c r="AM9"/>
  <c r="AM64" s="1"/>
  <c r="DA4" i="1" s="1"/>
  <c r="DA3" s="1"/>
  <c r="DA15" s="1"/>
  <c r="DA17" s="1"/>
  <c r="AM69" i="29" l="1"/>
  <c r="AN69"/>
  <c r="CZ9" i="1"/>
  <c r="CZ15" l="1"/>
  <c r="CZ17" s="1"/>
  <c r="CY7"/>
  <c r="CY9"/>
  <c r="AJ63" i="29"/>
  <c r="AJ68" s="1"/>
  <c r="AI63"/>
  <c r="AI68" s="1"/>
  <c r="CY8" i="1" s="1"/>
  <c r="AJ32" i="29"/>
  <c r="AJ65" s="1"/>
  <c r="AI32"/>
  <c r="AI65" s="1"/>
  <c r="CY5" i="1" s="1"/>
  <c r="AJ22" i="29"/>
  <c r="AJ66" s="1"/>
  <c r="AI22"/>
  <c r="AI66" s="1"/>
  <c r="CY6" i="1" s="1"/>
  <c r="AJ18" i="29"/>
  <c r="AJ67" s="1"/>
  <c r="AI18"/>
  <c r="AJ15"/>
  <c r="AI15"/>
  <c r="AJ9"/>
  <c r="AJ64" s="1"/>
  <c r="AI9"/>
  <c r="AJ69" l="1"/>
  <c r="AI64"/>
  <c r="AI69" s="1"/>
  <c r="CX7" i="1"/>
  <c r="CX9"/>
  <c r="AH63" i="29"/>
  <c r="AH68" s="1"/>
  <c r="AG63"/>
  <c r="AG68" s="1"/>
  <c r="CX8" i="1" s="1"/>
  <c r="AH32" i="29"/>
  <c r="AH65" s="1"/>
  <c r="AG32"/>
  <c r="AG65" s="1"/>
  <c r="CX5" i="1" s="1"/>
  <c r="AH22" i="29"/>
  <c r="AH66" s="1"/>
  <c r="AG22"/>
  <c r="AG66" s="1"/>
  <c r="CX6" i="1" s="1"/>
  <c r="AH18" i="29"/>
  <c r="AH67" s="1"/>
  <c r="AG18"/>
  <c r="AH15"/>
  <c r="AG15"/>
  <c r="AH9"/>
  <c r="AH64" s="1"/>
  <c r="AH69" s="1"/>
  <c r="AG9"/>
  <c r="AG64" s="1"/>
  <c r="AG69" s="1"/>
  <c r="CW7" i="1"/>
  <c r="CW9"/>
  <c r="CX4" l="1"/>
  <c r="CY4"/>
  <c r="CY3" s="1"/>
  <c r="CY15" s="1"/>
  <c r="CY17" s="1"/>
  <c r="CX3"/>
  <c r="CX15" s="1"/>
  <c r="CX17" s="1"/>
  <c r="AF63" i="29" l="1"/>
  <c r="AF68" s="1"/>
  <c r="AE63"/>
  <c r="AE68" s="1"/>
  <c r="CW8" i="1" s="1"/>
  <c r="AF32" i="29"/>
  <c r="AF65" s="1"/>
  <c r="AE32"/>
  <c r="AE65" s="1"/>
  <c r="CW5" i="1" s="1"/>
  <c r="AF22" i="29"/>
  <c r="AF66" s="1"/>
  <c r="AE22"/>
  <c r="AE66" s="1"/>
  <c r="CW6" i="1" s="1"/>
  <c r="AF18" i="29"/>
  <c r="AF67" s="1"/>
  <c r="AE18"/>
  <c r="AF15"/>
  <c r="AE15"/>
  <c r="AF9"/>
  <c r="AF64" s="1"/>
  <c r="AF69" s="1"/>
  <c r="AE9"/>
  <c r="AE64" s="1"/>
  <c r="CW4" i="1" s="1"/>
  <c r="CW3" s="1"/>
  <c r="CW15" s="1"/>
  <c r="CW17" s="1"/>
  <c r="AE69" i="29" l="1"/>
  <c r="CV7" i="1"/>
  <c r="CV9"/>
  <c r="AD63" i="29"/>
  <c r="AD68" s="1"/>
  <c r="AC63"/>
  <c r="AC68" s="1"/>
  <c r="CV8" i="1" s="1"/>
  <c r="AD32" i="29"/>
  <c r="AD65" s="1"/>
  <c r="AC32"/>
  <c r="AC65" s="1"/>
  <c r="CV5" i="1" s="1"/>
  <c r="AD22" i="29"/>
  <c r="AD66" s="1"/>
  <c r="AC22"/>
  <c r="AC66" s="1"/>
  <c r="CV6" i="1" s="1"/>
  <c r="AD18" i="29"/>
  <c r="AD67" s="1"/>
  <c r="AC18"/>
  <c r="AD15"/>
  <c r="AC15"/>
  <c r="AD9"/>
  <c r="AD64" s="1"/>
  <c r="AC9"/>
  <c r="AC64" s="1"/>
  <c r="CU7" i="1"/>
  <c r="AC69" i="29" l="1"/>
  <c r="AD69"/>
  <c r="CV4" i="1"/>
  <c r="CV3" s="1"/>
  <c r="CV15" s="1"/>
  <c r="CV17" s="1"/>
  <c r="AB63" i="29"/>
  <c r="AB68" s="1"/>
  <c r="AA63"/>
  <c r="AA68" s="1"/>
  <c r="CU8" i="1" s="1"/>
  <c r="AB32" i="29"/>
  <c r="AB65" s="1"/>
  <c r="AA32"/>
  <c r="AA65" s="1"/>
  <c r="CU5" i="1" s="1"/>
  <c r="AB22" i="29"/>
  <c r="AB66" s="1"/>
  <c r="AA22"/>
  <c r="AA66" s="1"/>
  <c r="CU6" i="1" s="1"/>
  <c r="AB18" i="29"/>
  <c r="AB67" s="1"/>
  <c r="AA18"/>
  <c r="AB15"/>
  <c r="AA15"/>
  <c r="AB9"/>
  <c r="AB64" s="1"/>
  <c r="AA9"/>
  <c r="AA64" s="1"/>
  <c r="CU9" i="1"/>
  <c r="CT7"/>
  <c r="CT9"/>
  <c r="Z9" i="29"/>
  <c r="Z63"/>
  <c r="Z68" s="1"/>
  <c r="Y63"/>
  <c r="Y68" s="1"/>
  <c r="CT8" i="1" s="1"/>
  <c r="Z32" i="29"/>
  <c r="Z65" s="1"/>
  <c r="Y32"/>
  <c r="Y65" s="1"/>
  <c r="CT5" i="1" s="1"/>
  <c r="Z22" i="29"/>
  <c r="Z66" s="1"/>
  <c r="Y22"/>
  <c r="Y66" s="1"/>
  <c r="CT6" i="1" s="1"/>
  <c r="Z18" i="29"/>
  <c r="Z67" s="1"/>
  <c r="Y18"/>
  <c r="Z15"/>
  <c r="Y15"/>
  <c r="Y9"/>
  <c r="AA69" l="1"/>
  <c r="CU4" i="1"/>
  <c r="CU3" s="1"/>
  <c r="AB69" i="29"/>
  <c r="Z64"/>
  <c r="Y64"/>
  <c r="Y69" l="1"/>
  <c r="CT4" i="1"/>
  <c r="CT3" s="1"/>
  <c r="CT15" s="1"/>
  <c r="CT17" s="1"/>
  <c r="Z69" i="29"/>
  <c r="CU15" i="1"/>
  <c r="CU17" s="1"/>
  <c r="CS7"/>
  <c r="X63" i="29" l="1"/>
  <c r="X68" s="1"/>
  <c r="W63"/>
  <c r="W68" s="1"/>
  <c r="CS8" i="1" s="1"/>
  <c r="X32" i="29"/>
  <c r="X65" s="1"/>
  <c r="W32"/>
  <c r="W65" s="1"/>
  <c r="CS5" i="1" s="1"/>
  <c r="X22" i="29"/>
  <c r="X66" s="1"/>
  <c r="W22"/>
  <c r="W66" s="1"/>
  <c r="CS6" i="1" s="1"/>
  <c r="X18" i="29"/>
  <c r="X67" s="1"/>
  <c r="W18"/>
  <c r="X15"/>
  <c r="W15"/>
  <c r="X9"/>
  <c r="X64" s="1"/>
  <c r="W9"/>
  <c r="CS9" i="1"/>
  <c r="CR7"/>
  <c r="W64" i="29" l="1"/>
  <c r="W69"/>
  <c r="CS4" i="1"/>
  <c r="CS3" s="1"/>
  <c r="CS15" s="1"/>
  <c r="CS17" s="1"/>
  <c r="X69" i="29"/>
  <c r="V63"/>
  <c r="V68" s="1"/>
  <c r="U63"/>
  <c r="U68" s="1"/>
  <c r="CR8" i="1" s="1"/>
  <c r="V32" i="29"/>
  <c r="V65" s="1"/>
  <c r="U32"/>
  <c r="U65" s="1"/>
  <c r="CR5" i="1" s="1"/>
  <c r="V22" i="29"/>
  <c r="V66" s="1"/>
  <c r="U22"/>
  <c r="U66" s="1"/>
  <c r="CR6" i="1" s="1"/>
  <c r="V18" i="29"/>
  <c r="V67" s="1"/>
  <c r="U18"/>
  <c r="V15"/>
  <c r="U15"/>
  <c r="V9"/>
  <c r="V64" s="1"/>
  <c r="U9"/>
  <c r="U64" s="1"/>
  <c r="CR9" i="1"/>
  <c r="CQ7"/>
  <c r="T9" i="29"/>
  <c r="T63"/>
  <c r="T68" s="1"/>
  <c r="S63"/>
  <c r="S68" s="1"/>
  <c r="CQ8" i="1" s="1"/>
  <c r="T32" i="29"/>
  <c r="T65" s="1"/>
  <c r="S32"/>
  <c r="S65" s="1"/>
  <c r="CQ5" i="1" s="1"/>
  <c r="T22" i="29"/>
  <c r="T66" s="1"/>
  <c r="S22"/>
  <c r="S66" s="1"/>
  <c r="CQ6" i="1" s="1"/>
  <c r="T18" i="29"/>
  <c r="T67" s="1"/>
  <c r="S18"/>
  <c r="T15"/>
  <c r="S15"/>
  <c r="S9"/>
  <c r="CQ9" i="1"/>
  <c r="U69" i="29" l="1"/>
  <c r="CR4" i="1"/>
  <c r="CR3" s="1"/>
  <c r="CR15" s="1"/>
  <c r="CR17" s="1"/>
  <c r="V69" i="29"/>
  <c r="S64"/>
  <c r="CQ4" i="1" s="1"/>
  <c r="CQ3" s="1"/>
  <c r="CQ15" s="1"/>
  <c r="CQ17" s="1"/>
  <c r="T64" i="29"/>
  <c r="T69" s="1"/>
  <c r="S69" l="1"/>
  <c r="CP7" i="1"/>
  <c r="R9" i="29"/>
  <c r="R63"/>
  <c r="R68" s="1"/>
  <c r="Q63"/>
  <c r="Q68" s="1"/>
  <c r="CP8" i="1" s="1"/>
  <c r="R32" i="29"/>
  <c r="R65" s="1"/>
  <c r="Q32"/>
  <c r="Q65" s="1"/>
  <c r="CP5" i="1" s="1"/>
  <c r="R22" i="29"/>
  <c r="R66" s="1"/>
  <c r="Q22"/>
  <c r="Q66" s="1"/>
  <c r="CP6" i="1" s="1"/>
  <c r="R18" i="29"/>
  <c r="R67" s="1"/>
  <c r="Q18"/>
  <c r="R15"/>
  <c r="Q15"/>
  <c r="Q9"/>
  <c r="Q64" l="1"/>
  <c r="CP4" i="1" s="1"/>
  <c r="CP3" s="1"/>
  <c r="R64" i="29"/>
  <c r="R69" s="1"/>
  <c r="Q69" l="1"/>
  <c r="CP9" i="1"/>
  <c r="CP15" s="1"/>
  <c r="CO7"/>
  <c r="CO9"/>
  <c r="CP17" l="1"/>
  <c r="P63" i="29" l="1"/>
  <c r="P68" s="1"/>
  <c r="O63"/>
  <c r="O68" s="1"/>
  <c r="CO8" i="1" s="1"/>
  <c r="P32" i="29"/>
  <c r="P65" s="1"/>
  <c r="O32"/>
  <c r="O65" s="1"/>
  <c r="CO5" i="1" s="1"/>
  <c r="P22" i="29"/>
  <c r="P66" s="1"/>
  <c r="O22"/>
  <c r="O66" s="1"/>
  <c r="CO6" i="1" s="1"/>
  <c r="P18" i="29"/>
  <c r="P67" s="1"/>
  <c r="O18"/>
  <c r="P15"/>
  <c r="O15"/>
  <c r="P9"/>
  <c r="P64" s="1"/>
  <c r="O9"/>
  <c r="O64" s="1"/>
  <c r="O69" l="1"/>
  <c r="CO4" i="1"/>
  <c r="CO3" s="1"/>
  <c r="CO15" s="1"/>
  <c r="P69" i="29"/>
  <c r="CN7" i="1"/>
  <c r="CN9"/>
  <c r="N63" i="29"/>
  <c r="N68" s="1"/>
  <c r="M63"/>
  <c r="M68" s="1"/>
  <c r="CN8" i="1" s="1"/>
  <c r="N32" i="29"/>
  <c r="N65" s="1"/>
  <c r="M32"/>
  <c r="M65" s="1"/>
  <c r="CN5" i="1" s="1"/>
  <c r="N22" i="29"/>
  <c r="N66" s="1"/>
  <c r="M22"/>
  <c r="M66" s="1"/>
  <c r="CN6" i="1" s="1"/>
  <c r="N18" i="29"/>
  <c r="N67" s="1"/>
  <c r="M18"/>
  <c r="N15"/>
  <c r="M15"/>
  <c r="N9"/>
  <c r="M9"/>
  <c r="M64" s="1"/>
  <c r="CO17" i="1" l="1"/>
  <c r="M69" i="29"/>
  <c r="N64"/>
  <c r="N69" s="1"/>
  <c r="CN4" i="1"/>
  <c r="CN3" s="1"/>
  <c r="CN15" s="1"/>
  <c r="L63" i="29"/>
  <c r="L68" s="1"/>
  <c r="K63"/>
  <c r="K68" s="1"/>
  <c r="CM8" i="1" s="1"/>
  <c r="L32" i="29"/>
  <c r="L65" s="1"/>
  <c r="K32"/>
  <c r="K65" s="1"/>
  <c r="CM5" i="1" s="1"/>
  <c r="L22" i="29"/>
  <c r="L66" s="1"/>
  <c r="K22"/>
  <c r="K66" s="1"/>
  <c r="CM6" i="1" s="1"/>
  <c r="L18" i="29"/>
  <c r="L67" s="1"/>
  <c r="K18"/>
  <c r="L15"/>
  <c r="K15"/>
  <c r="L9"/>
  <c r="L64" s="1"/>
  <c r="K9"/>
  <c r="CM7" i="1"/>
  <c r="CM9"/>
  <c r="CL7"/>
  <c r="CL9"/>
  <c r="CN17" l="1"/>
  <c r="K64" i="29"/>
  <c r="L69"/>
  <c r="CM4" i="1"/>
  <c r="CM3" s="1"/>
  <c r="CM15" s="1"/>
  <c r="K69" i="29"/>
  <c r="J63"/>
  <c r="J68" s="1"/>
  <c r="I63"/>
  <c r="I68" s="1"/>
  <c r="CL8" i="1" s="1"/>
  <c r="J32" i="29"/>
  <c r="J65" s="1"/>
  <c r="I32"/>
  <c r="I65" s="1"/>
  <c r="CL5" i="1" s="1"/>
  <c r="J22" i="29"/>
  <c r="J66" s="1"/>
  <c r="I22"/>
  <c r="I66" s="1"/>
  <c r="CL6" i="1" s="1"/>
  <c r="J18" i="29"/>
  <c r="J67" s="1"/>
  <c r="I18"/>
  <c r="J15"/>
  <c r="I15"/>
  <c r="J9"/>
  <c r="J64" s="1"/>
  <c r="I9"/>
  <c r="CM17" i="1" l="1"/>
  <c r="I64" i="29"/>
  <c r="CL4" i="1" s="1"/>
  <c r="CL3" s="1"/>
  <c r="CL15" s="1"/>
  <c r="J69" i="29"/>
  <c r="H63"/>
  <c r="H68" s="1"/>
  <c r="G63"/>
  <c r="G68" s="1"/>
  <c r="CK8" i="1" s="1"/>
  <c r="H32" i="29"/>
  <c r="H65" s="1"/>
  <c r="G32"/>
  <c r="G65" s="1"/>
  <c r="CK5" i="1" s="1"/>
  <c r="H22" i="29"/>
  <c r="H66" s="1"/>
  <c r="G22"/>
  <c r="G66" s="1"/>
  <c r="CK6" i="1" s="1"/>
  <c r="H18" i="29"/>
  <c r="H67" s="1"/>
  <c r="G18"/>
  <c r="H15"/>
  <c r="G15"/>
  <c r="H9"/>
  <c r="G9"/>
  <c r="CK7" i="1"/>
  <c r="CK9"/>
  <c r="CJ7"/>
  <c r="CJ9"/>
  <c r="I69" i="29" l="1"/>
  <c r="CL17" i="1"/>
  <c r="G64" i="29"/>
  <c r="G69" s="1"/>
  <c r="H64"/>
  <c r="H69" s="1"/>
  <c r="CK4" i="1"/>
  <c r="CK3" s="1"/>
  <c r="CK15" s="1"/>
  <c r="F63" i="29"/>
  <c r="F68" s="1"/>
  <c r="E63"/>
  <c r="E68" s="1"/>
  <c r="CJ8" i="1" s="1"/>
  <c r="F32" i="29"/>
  <c r="F65" s="1"/>
  <c r="E32"/>
  <c r="E65" s="1"/>
  <c r="CJ5" i="1" s="1"/>
  <c r="F22" i="29"/>
  <c r="F66" s="1"/>
  <c r="E22"/>
  <c r="E66" s="1"/>
  <c r="CJ6" i="1" s="1"/>
  <c r="F18" i="29"/>
  <c r="F67" s="1"/>
  <c r="E18"/>
  <c r="F15"/>
  <c r="E15"/>
  <c r="F9"/>
  <c r="F64" s="1"/>
  <c r="E9"/>
  <c r="E64" s="1"/>
  <c r="CJ4" i="1" s="1"/>
  <c r="CJ3" l="1"/>
  <c r="CJ15" s="1"/>
  <c r="CK17"/>
  <c r="CJ17"/>
  <c r="E69" i="29"/>
  <c r="F69"/>
  <c r="CI7" i="1"/>
  <c r="CI9"/>
  <c r="D63" i="29" l="1"/>
  <c r="D68" s="1"/>
  <c r="C63"/>
  <c r="C68" s="1"/>
  <c r="CI8" i="1" s="1"/>
  <c r="D32" i="29"/>
  <c r="D65" s="1"/>
  <c r="C32"/>
  <c r="C65" s="1"/>
  <c r="CI5" i="1" s="1"/>
  <c r="D22" i="29"/>
  <c r="D66" s="1"/>
  <c r="C22"/>
  <c r="C66" s="1"/>
  <c r="CI6" i="1" s="1"/>
  <c r="D18" i="29"/>
  <c r="D67" s="1"/>
  <c r="C18"/>
  <c r="D15"/>
  <c r="C15"/>
  <c r="D9"/>
  <c r="C9"/>
  <c r="C64" s="1"/>
  <c r="AT64" i="28"/>
  <c r="AT69" s="1"/>
  <c r="AS64"/>
  <c r="AS69" s="1"/>
  <c r="CH8" i="1" s="1"/>
  <c r="AT33" i="28"/>
  <c r="AT66" s="1"/>
  <c r="AS33"/>
  <c r="AS66" s="1"/>
  <c r="CH5" i="1" s="1"/>
  <c r="AT22" i="28"/>
  <c r="AT67" s="1"/>
  <c r="AS22"/>
  <c r="AS67" s="1"/>
  <c r="CH6" i="1" s="1"/>
  <c r="AT18" i="28"/>
  <c r="AT68" s="1"/>
  <c r="AS18"/>
  <c r="AT15"/>
  <c r="AS15"/>
  <c r="AT9"/>
  <c r="AT65" s="1"/>
  <c r="AS9"/>
  <c r="AS65" s="1"/>
  <c r="CH7" i="1"/>
  <c r="CH9"/>
  <c r="CG7"/>
  <c r="CG9"/>
  <c r="AR9" i="28"/>
  <c r="AR64"/>
  <c r="AR69" s="1"/>
  <c r="AQ64"/>
  <c r="AQ69" s="1"/>
  <c r="CG8" i="1" s="1"/>
  <c r="AR33" i="28"/>
  <c r="AR66" s="1"/>
  <c r="AQ33"/>
  <c r="AQ66" s="1"/>
  <c r="CG5" i="1" s="1"/>
  <c r="AR22" i="28"/>
  <c r="AR67" s="1"/>
  <c r="AQ22"/>
  <c r="AQ67" s="1"/>
  <c r="CG6" i="1" s="1"/>
  <c r="AR18" i="28"/>
  <c r="AR68" s="1"/>
  <c r="AQ18"/>
  <c r="AR15"/>
  <c r="AQ15"/>
  <c r="AQ9"/>
  <c r="C69" i="29" l="1"/>
  <c r="CI4" i="1"/>
  <c r="CI3" s="1"/>
  <c r="CI15" s="1"/>
  <c r="CI17" s="1"/>
  <c r="D64" i="29"/>
  <c r="D69" s="1"/>
  <c r="AT70" i="28"/>
  <c r="CH4" i="1"/>
  <c r="CH3" s="1"/>
  <c r="CH15" s="1"/>
  <c r="CH17" s="1"/>
  <c r="AS70" i="28"/>
  <c r="AQ65"/>
  <c r="AR65"/>
  <c r="AR70" s="1"/>
  <c r="AQ70" l="1"/>
  <c r="CG4" i="1"/>
  <c r="CG3" s="1"/>
  <c r="CG15" s="1"/>
  <c r="CG17" s="1"/>
  <c r="CF7"/>
  <c r="AP64" i="28" l="1"/>
  <c r="AP69" s="1"/>
  <c r="AO64"/>
  <c r="AO69" s="1"/>
  <c r="CF8" i="1" s="1"/>
  <c r="AP33" i="28"/>
  <c r="AP66" s="1"/>
  <c r="AO33"/>
  <c r="AO66" s="1"/>
  <c r="CF5" i="1" s="1"/>
  <c r="AP22" i="28"/>
  <c r="AP67" s="1"/>
  <c r="AO22"/>
  <c r="AO67" s="1"/>
  <c r="CF6" i="1" s="1"/>
  <c r="AP18" i="28"/>
  <c r="AP68" s="1"/>
  <c r="AO18"/>
  <c r="AP15"/>
  <c r="AO15"/>
  <c r="AP9"/>
  <c r="AP65" s="1"/>
  <c r="AO9"/>
  <c r="CF9" i="1"/>
  <c r="AN9" i="28"/>
  <c r="AN68"/>
  <c r="AN64"/>
  <c r="AN69" s="1"/>
  <c r="AM64"/>
  <c r="AM69" s="1"/>
  <c r="CE8" i="1" s="1"/>
  <c r="AN33" i="28"/>
  <c r="AN66" s="1"/>
  <c r="AM33"/>
  <c r="AM66" s="1"/>
  <c r="CE5" i="1" s="1"/>
  <c r="AN22" i="28"/>
  <c r="AN67" s="1"/>
  <c r="AM22"/>
  <c r="AM67" s="1"/>
  <c r="CE6" i="1" s="1"/>
  <c r="AN18" i="28"/>
  <c r="AM18"/>
  <c r="AN15"/>
  <c r="AM15"/>
  <c r="AM9"/>
  <c r="CE7" i="1"/>
  <c r="CE9"/>
  <c r="AP70" i="28" l="1"/>
  <c r="AO65"/>
  <c r="AM65"/>
  <c r="CE4" i="1" s="1"/>
  <c r="CE3" s="1"/>
  <c r="CE15" s="1"/>
  <c r="CE17" s="1"/>
  <c r="AN65" i="28"/>
  <c r="AN70" s="1"/>
  <c r="AM70"/>
  <c r="AO70" l="1"/>
  <c r="CF4" i="1"/>
  <c r="CF3" s="1"/>
  <c r="CF15" s="1"/>
  <c r="CF17" s="1"/>
  <c r="CD7"/>
  <c r="CD9"/>
  <c r="AL64" i="28"/>
  <c r="AL69" s="1"/>
  <c r="AK64"/>
  <c r="AK69" s="1"/>
  <c r="CD8" i="1" s="1"/>
  <c r="AL33" i="28"/>
  <c r="AL66" s="1"/>
  <c r="AK33"/>
  <c r="AK66" s="1"/>
  <c r="CD5" i="1" s="1"/>
  <c r="AL22" i="28"/>
  <c r="AL67" s="1"/>
  <c r="AK22"/>
  <c r="AK67" s="1"/>
  <c r="CD6" i="1" s="1"/>
  <c r="AL18" i="28"/>
  <c r="AL68" s="1"/>
  <c r="AK18"/>
  <c r="AL15"/>
  <c r="AK15"/>
  <c r="AL9"/>
  <c r="AL65" s="1"/>
  <c r="AK9"/>
  <c r="AJ64"/>
  <c r="AJ69" s="1"/>
  <c r="AI64"/>
  <c r="AI69" s="1"/>
  <c r="CC8" i="1" s="1"/>
  <c r="AJ33" i="28"/>
  <c r="AJ66" s="1"/>
  <c r="AI33"/>
  <c r="AI66" s="1"/>
  <c r="CC5" i="1" s="1"/>
  <c r="AJ22" i="28"/>
  <c r="AJ67" s="1"/>
  <c r="AI22"/>
  <c r="AI67" s="1"/>
  <c r="CC6" i="1" s="1"/>
  <c r="AJ18" i="28"/>
  <c r="AJ68" s="1"/>
  <c r="AI18"/>
  <c r="AJ15"/>
  <c r="AI15"/>
  <c r="AJ9"/>
  <c r="AJ65" s="1"/>
  <c r="AI9"/>
  <c r="AI65" s="1"/>
  <c r="CC7" i="1"/>
  <c r="CC9"/>
  <c r="CB7"/>
  <c r="CB9"/>
  <c r="AK65" i="28" l="1"/>
  <c r="AL70"/>
  <c r="AK70"/>
  <c r="CD4" i="1"/>
  <c r="CD3" s="1"/>
  <c r="CD15" s="1"/>
  <c r="CD17" s="1"/>
  <c r="AJ70" i="28"/>
  <c r="CC4" i="1"/>
  <c r="CC3" s="1"/>
  <c r="CC15" s="1"/>
  <c r="CC17" s="1"/>
  <c r="AI70" i="28"/>
  <c r="AH64" l="1"/>
  <c r="AH69" s="1"/>
  <c r="AG64"/>
  <c r="AG69" s="1"/>
  <c r="CB8" i="1" s="1"/>
  <c r="AH33" i="28"/>
  <c r="AH66" s="1"/>
  <c r="AG33"/>
  <c r="AG66" s="1"/>
  <c r="CB5" i="1" s="1"/>
  <c r="AH22" i="28"/>
  <c r="AH67" s="1"/>
  <c r="AG22"/>
  <c r="AG67" s="1"/>
  <c r="CB6" i="1" s="1"/>
  <c r="AH18" i="28"/>
  <c r="AH68" s="1"/>
  <c r="AG18"/>
  <c r="AH15"/>
  <c r="AG15"/>
  <c r="AH9"/>
  <c r="AH65" s="1"/>
  <c r="AG9"/>
  <c r="AG65" s="1"/>
  <c r="CB4" i="1" s="1"/>
  <c r="CB3" s="1"/>
  <c r="CB15" s="1"/>
  <c r="CB17" s="1"/>
  <c r="AG70" i="28" l="1"/>
  <c r="AH70"/>
  <c r="AF9"/>
  <c r="AE64"/>
  <c r="AE69" s="1"/>
  <c r="AF64"/>
  <c r="AF69" s="1"/>
  <c r="AF33"/>
  <c r="AF66" s="1"/>
  <c r="AE33"/>
  <c r="AE66" s="1"/>
  <c r="AF22"/>
  <c r="AF67" s="1"/>
  <c r="AE22"/>
  <c r="AE67" s="1"/>
  <c r="AF18"/>
  <c r="AF68" s="1"/>
  <c r="AE18"/>
  <c r="AF15"/>
  <c r="AE15"/>
  <c r="AE9"/>
  <c r="AF65" l="1"/>
  <c r="AF70" s="1"/>
  <c r="AE65"/>
  <c r="AE70" s="1"/>
  <c r="CA4" i="1" l="1"/>
  <c r="CA5"/>
  <c r="CA6"/>
  <c r="CA7"/>
  <c r="CA8"/>
  <c r="CA9"/>
  <c r="AD64" i="28"/>
  <c r="AD69" s="1"/>
  <c r="AC64"/>
  <c r="AC69" s="1"/>
  <c r="BZ8" i="1" s="1"/>
  <c r="AD33" i="28"/>
  <c r="AD66" s="1"/>
  <c r="AC33"/>
  <c r="AC66" s="1"/>
  <c r="BZ5" i="1" s="1"/>
  <c r="AD22" i="28"/>
  <c r="AD67" s="1"/>
  <c r="AC22"/>
  <c r="AC67" s="1"/>
  <c r="BZ6" i="1" s="1"/>
  <c r="AD18" i="28"/>
  <c r="AD68" s="1"/>
  <c r="AC18"/>
  <c r="AD15"/>
  <c r="AC15"/>
  <c r="AD9"/>
  <c r="AD65" s="1"/>
  <c r="AC9"/>
  <c r="BZ7" i="1"/>
  <c r="BZ9"/>
  <c r="BY7"/>
  <c r="CA3" l="1"/>
  <c r="CA15" s="1"/>
  <c r="CA17" s="1"/>
  <c r="AC65" i="28"/>
  <c r="BZ4" i="1" s="1"/>
  <c r="BZ3" s="1"/>
  <c r="BZ15" s="1"/>
  <c r="BZ17" s="1"/>
  <c r="AD70" i="28"/>
  <c r="AC70"/>
  <c r="AB64" l="1"/>
  <c r="AB69" s="1"/>
  <c r="AA64"/>
  <c r="AA69" s="1"/>
  <c r="BY8" i="1" s="1"/>
  <c r="AB33" i="28"/>
  <c r="AB66" s="1"/>
  <c r="AA33"/>
  <c r="AA66" s="1"/>
  <c r="BY5" i="1" s="1"/>
  <c r="AB22" i="28"/>
  <c r="AB67" s="1"/>
  <c r="AA22"/>
  <c r="AA67" s="1"/>
  <c r="BY6" i="1" s="1"/>
  <c r="AB18" i="28"/>
  <c r="AB68" s="1"/>
  <c r="AA18"/>
  <c r="AB15"/>
  <c r="AA15"/>
  <c r="AB9"/>
  <c r="AB65" s="1"/>
  <c r="AB70" s="1"/>
  <c r="AA9"/>
  <c r="BY9" i="1"/>
  <c r="BX7"/>
  <c r="AA65" i="28" l="1"/>
  <c r="BY4" i="1" s="1"/>
  <c r="BY3" s="1"/>
  <c r="BY15" s="1"/>
  <c r="BY17" s="1"/>
  <c r="Z64" i="28"/>
  <c r="Z69" s="1"/>
  <c r="Y64"/>
  <c r="Y69" s="1"/>
  <c r="BX8" i="1" s="1"/>
  <c r="Z33" i="28"/>
  <c r="Z66" s="1"/>
  <c r="Y33"/>
  <c r="Y66" s="1"/>
  <c r="BX5" i="1" s="1"/>
  <c r="Z22" i="28"/>
  <c r="Z67" s="1"/>
  <c r="Y22"/>
  <c r="Y67" s="1"/>
  <c r="BX6" i="1" s="1"/>
  <c r="Z18" i="28"/>
  <c r="Z68" s="1"/>
  <c r="Y18"/>
  <c r="Z15"/>
  <c r="Y15"/>
  <c r="Z9"/>
  <c r="Z65" s="1"/>
  <c r="Y9"/>
  <c r="Y65" s="1"/>
  <c r="BX4" i="1" s="1"/>
  <c r="BX3" s="1"/>
  <c r="BX9"/>
  <c r="BW7"/>
  <c r="BX15" l="1"/>
  <c r="BX17" s="1"/>
  <c r="AA70" i="28"/>
  <c r="Z70"/>
  <c r="Y70"/>
  <c r="X64"/>
  <c r="X69" s="1"/>
  <c r="W64"/>
  <c r="W69" s="1"/>
  <c r="BW8" i="1" s="1"/>
  <c r="X33" i="28"/>
  <c r="X66" s="1"/>
  <c r="W33"/>
  <c r="W66" s="1"/>
  <c r="BW5" i="1" s="1"/>
  <c r="X22" i="28"/>
  <c r="X67" s="1"/>
  <c r="W22"/>
  <c r="W67" s="1"/>
  <c r="BW6" i="1" s="1"/>
  <c r="X18" i="28"/>
  <c r="X68" s="1"/>
  <c r="W18"/>
  <c r="X15"/>
  <c r="W15"/>
  <c r="X9"/>
  <c r="X65" s="1"/>
  <c r="W9"/>
  <c r="BW9" i="1"/>
  <c r="V64" i="28"/>
  <c r="V69" s="1"/>
  <c r="U64"/>
  <c r="U69" s="1"/>
  <c r="BV8" i="1" s="1"/>
  <c r="V33" i="28"/>
  <c r="V66" s="1"/>
  <c r="U33"/>
  <c r="U66" s="1"/>
  <c r="BV5" i="1" s="1"/>
  <c r="V22" i="28"/>
  <c r="V67" s="1"/>
  <c r="U22"/>
  <c r="U67" s="1"/>
  <c r="BV6" i="1" s="1"/>
  <c r="V18" i="28"/>
  <c r="V68" s="1"/>
  <c r="U18"/>
  <c r="V15"/>
  <c r="U15"/>
  <c r="V9"/>
  <c r="U9"/>
  <c r="BV7" i="1"/>
  <c r="BV9"/>
  <c r="BW15" l="1"/>
  <c r="BW17" s="1"/>
  <c r="W65" i="28"/>
  <c r="BW4" i="1" s="1"/>
  <c r="BW3" s="1"/>
  <c r="X70" i="28"/>
  <c r="W70"/>
  <c r="U65"/>
  <c r="U70" s="1"/>
  <c r="V65"/>
  <c r="V70" s="1"/>
  <c r="BV4" i="1"/>
  <c r="BV3" s="1"/>
  <c r="BV15" s="1"/>
  <c r="BV17" s="1"/>
  <c r="BU7" l="1"/>
  <c r="BU9"/>
  <c r="T18" i="28"/>
  <c r="T64" l="1"/>
  <c r="T69" s="1"/>
  <c r="S64"/>
  <c r="S69" s="1"/>
  <c r="BU8" i="1" s="1"/>
  <c r="T33" i="28"/>
  <c r="T66" s="1"/>
  <c r="S33"/>
  <c r="S66" s="1"/>
  <c r="BU5" i="1" s="1"/>
  <c r="T22" i="28"/>
  <c r="T67" s="1"/>
  <c r="S22"/>
  <c r="S67" s="1"/>
  <c r="BU6" i="1" s="1"/>
  <c r="T68" i="28"/>
  <c r="S18"/>
  <c r="T15"/>
  <c r="S15"/>
  <c r="T9"/>
  <c r="T65" s="1"/>
  <c r="S9"/>
  <c r="S65" s="1"/>
  <c r="BU4" i="1" s="1"/>
  <c r="BU3" s="1"/>
  <c r="BU15" s="1"/>
  <c r="BU17" s="1"/>
  <c r="Q64" i="28"/>
  <c r="Q69" s="1"/>
  <c r="R15"/>
  <c r="R9"/>
  <c r="R64"/>
  <c r="R69" s="1"/>
  <c r="R33"/>
  <c r="R66" s="1"/>
  <c r="Q33"/>
  <c r="Q66" s="1"/>
  <c r="R22"/>
  <c r="R67" s="1"/>
  <c r="Q22"/>
  <c r="Q67" s="1"/>
  <c r="R18"/>
  <c r="R68" s="1"/>
  <c r="Q18"/>
  <c r="Q15"/>
  <c r="Q9"/>
  <c r="S70" l="1"/>
  <c r="T70"/>
  <c r="Q65"/>
  <c r="Q70" s="1"/>
  <c r="R65"/>
  <c r="R70" s="1"/>
  <c r="BT4" i="1" l="1"/>
  <c r="BT5"/>
  <c r="BT6"/>
  <c r="BT7"/>
  <c r="BT8"/>
  <c r="BT9"/>
  <c r="BS9"/>
  <c r="BS7"/>
  <c r="BT3" l="1"/>
  <c r="BT15" s="1"/>
  <c r="BT17" s="1"/>
  <c r="P64" i="28"/>
  <c r="P69" s="1"/>
  <c r="O64"/>
  <c r="O69" s="1"/>
  <c r="BS8" i="1" s="1"/>
  <c r="P33" i="28"/>
  <c r="P66" s="1"/>
  <c r="O33"/>
  <c r="O66" s="1"/>
  <c r="BS5" i="1" s="1"/>
  <c r="P22" i="28"/>
  <c r="P67" s="1"/>
  <c r="O22"/>
  <c r="O67" s="1"/>
  <c r="BS6" i="1" s="1"/>
  <c r="P18" i="28"/>
  <c r="P68" s="1"/>
  <c r="O18"/>
  <c r="P15"/>
  <c r="O15"/>
  <c r="P9"/>
  <c r="P65" s="1"/>
  <c r="O9"/>
  <c r="BR7" i="1"/>
  <c r="BR9"/>
  <c r="N64" i="28"/>
  <c r="N69" s="1"/>
  <c r="M64"/>
  <c r="M69" s="1"/>
  <c r="BR8" i="1" s="1"/>
  <c r="N33" i="28"/>
  <c r="N66" s="1"/>
  <c r="M33"/>
  <c r="M66" s="1"/>
  <c r="BR5" i="1" s="1"/>
  <c r="N22" i="28"/>
  <c r="N67" s="1"/>
  <c r="M22"/>
  <c r="M67" s="1"/>
  <c r="BR6" i="1" s="1"/>
  <c r="N18" i="28"/>
  <c r="N68" s="1"/>
  <c r="M18"/>
  <c r="N15"/>
  <c r="M15"/>
  <c r="N9"/>
  <c r="N65" s="1"/>
  <c r="M9"/>
  <c r="BQ7" i="1"/>
  <c r="BQ9"/>
  <c r="P70" i="28" l="1"/>
  <c r="O65"/>
  <c r="M65"/>
  <c r="N70"/>
  <c r="O70" l="1"/>
  <c r="BS4" i="1"/>
  <c r="BS3" s="1"/>
  <c r="BS15" s="1"/>
  <c r="BS17" s="1"/>
  <c r="M70" i="28"/>
  <c r="BR4" i="1"/>
  <c r="BR3" s="1"/>
  <c r="BR15" s="1"/>
  <c r="BR17" s="1"/>
  <c r="L64" i="28"/>
  <c r="L69" s="1"/>
  <c r="K64"/>
  <c r="K69" s="1"/>
  <c r="BQ8" i="1" s="1"/>
  <c r="L33" i="28"/>
  <c r="L66" s="1"/>
  <c r="K33"/>
  <c r="K66" s="1"/>
  <c r="BQ5" i="1" s="1"/>
  <c r="L22" i="28"/>
  <c r="L67" s="1"/>
  <c r="K22"/>
  <c r="K67" s="1"/>
  <c r="BQ6" i="1" s="1"/>
  <c r="L18" i="28"/>
  <c r="L68" s="1"/>
  <c r="K18"/>
  <c r="L15"/>
  <c r="K15"/>
  <c r="L9"/>
  <c r="L65" s="1"/>
  <c r="K9"/>
  <c r="K65" s="1"/>
  <c r="BQ4" i="1" s="1"/>
  <c r="J64" i="28"/>
  <c r="J69" s="1"/>
  <c r="I64"/>
  <c r="I69" s="1"/>
  <c r="BP8" i="1" s="1"/>
  <c r="J33" i="28"/>
  <c r="J66" s="1"/>
  <c r="I33"/>
  <c r="I66" s="1"/>
  <c r="BP5" i="1" s="1"/>
  <c r="J22" i="28"/>
  <c r="J67" s="1"/>
  <c r="I22"/>
  <c r="I67" s="1"/>
  <c r="BP6" i="1" s="1"/>
  <c r="J18" i="28"/>
  <c r="J68" s="1"/>
  <c r="I18"/>
  <c r="J15"/>
  <c r="I15"/>
  <c r="J9"/>
  <c r="I9"/>
  <c r="I65" s="1"/>
  <c r="BP7" i="1"/>
  <c r="BP9"/>
  <c r="BO7"/>
  <c r="BO9"/>
  <c r="H64" i="28"/>
  <c r="H69" s="1"/>
  <c r="G64"/>
  <c r="G69" s="1"/>
  <c r="BO8" i="1" s="1"/>
  <c r="H33" i="28"/>
  <c r="H66" s="1"/>
  <c r="G33"/>
  <c r="G66" s="1"/>
  <c r="BO5" i="1" s="1"/>
  <c r="H22" i="28"/>
  <c r="H67" s="1"/>
  <c r="G22"/>
  <c r="G67" s="1"/>
  <c r="BO6" i="1" s="1"/>
  <c r="H18" i="28"/>
  <c r="H68" s="1"/>
  <c r="G18"/>
  <c r="H15"/>
  <c r="G15"/>
  <c r="H9"/>
  <c r="H65" s="1"/>
  <c r="G9"/>
  <c r="BQ3" i="1" l="1"/>
  <c r="BQ15" s="1"/>
  <c r="BQ17" s="1"/>
  <c r="K70" i="28"/>
  <c r="L70"/>
  <c r="J65"/>
  <c r="J70" s="1"/>
  <c r="BP4" i="1"/>
  <c r="BP3" s="1"/>
  <c r="BP15" s="1"/>
  <c r="BP17" s="1"/>
  <c r="I70" i="28"/>
  <c r="G65"/>
  <c r="BO4" i="1" s="1"/>
  <c r="BO3" s="1"/>
  <c r="BO15" s="1"/>
  <c r="BO17" s="1"/>
  <c r="H70" i="28"/>
  <c r="BN7" i="1"/>
  <c r="G70" i="28" l="1"/>
  <c r="F64"/>
  <c r="F69" s="1"/>
  <c r="E64"/>
  <c r="E69" s="1"/>
  <c r="BN8" i="1" s="1"/>
  <c r="F33" i="28"/>
  <c r="F66" s="1"/>
  <c r="E33"/>
  <c r="E66" s="1"/>
  <c r="BN5" i="1" s="1"/>
  <c r="F22" i="28"/>
  <c r="F67" s="1"/>
  <c r="E22"/>
  <c r="E67" s="1"/>
  <c r="BN6" i="1" s="1"/>
  <c r="F18" i="28"/>
  <c r="F68" s="1"/>
  <c r="E18"/>
  <c r="F15"/>
  <c r="E15"/>
  <c r="F9"/>
  <c r="E9"/>
  <c r="BN9" i="1"/>
  <c r="F65" i="28" l="1"/>
  <c r="F70" s="1"/>
  <c r="E65"/>
  <c r="E70" l="1"/>
  <c r="BN4" i="1"/>
  <c r="BN3" s="1"/>
  <c r="BN15" s="1"/>
  <c r="BN17" s="1"/>
  <c r="BM7"/>
  <c r="BM9"/>
  <c r="D64" i="28" l="1"/>
  <c r="D69" s="1"/>
  <c r="C64"/>
  <c r="C69" s="1"/>
  <c r="BM8" i="1" s="1"/>
  <c r="D33" i="28"/>
  <c r="D66" s="1"/>
  <c r="C33"/>
  <c r="C66" s="1"/>
  <c r="BM5" i="1" s="1"/>
  <c r="D22" i="28"/>
  <c r="D67" s="1"/>
  <c r="C22"/>
  <c r="C67" s="1"/>
  <c r="BM6" i="1" s="1"/>
  <c r="D18" i="28"/>
  <c r="D68" s="1"/>
  <c r="C18"/>
  <c r="D15"/>
  <c r="C15"/>
  <c r="D9"/>
  <c r="D65" s="1"/>
  <c r="C9"/>
  <c r="AV65" i="27"/>
  <c r="AV70" s="1"/>
  <c r="AU65"/>
  <c r="AU70" s="1"/>
  <c r="BL8" i="1" s="1"/>
  <c r="AV33" i="27"/>
  <c r="AV67" s="1"/>
  <c r="AU33"/>
  <c r="AU67" s="1"/>
  <c r="BL5" i="1" s="1"/>
  <c r="AV22" i="27"/>
  <c r="AV68" s="1"/>
  <c r="AU22"/>
  <c r="AU68" s="1"/>
  <c r="BL6" i="1" s="1"/>
  <c r="AV18" i="27"/>
  <c r="AV69" s="1"/>
  <c r="AU18"/>
  <c r="AV15"/>
  <c r="AU15"/>
  <c r="AV9"/>
  <c r="AU9"/>
  <c r="AU66" s="1"/>
  <c r="BL7" i="1"/>
  <c r="BL9"/>
  <c r="BK7"/>
  <c r="BK9"/>
  <c r="C65" i="28" l="1"/>
  <c r="D70"/>
  <c r="AV66" i="27"/>
  <c r="AV71" s="1"/>
  <c r="BL4" i="1"/>
  <c r="BL3" s="1"/>
  <c r="BL15" s="1"/>
  <c r="AU71" i="27"/>
  <c r="BL17" i="1" l="1"/>
  <c r="C70" i="28"/>
  <c r="BM4" i="1"/>
  <c r="BM3" s="1"/>
  <c r="BM15" s="1"/>
  <c r="BM17" s="1"/>
  <c r="AT65" i="27"/>
  <c r="AT70" s="1"/>
  <c r="AS65"/>
  <c r="AS70" s="1"/>
  <c r="BK8" i="1" s="1"/>
  <c r="AT33" i="27"/>
  <c r="AT67" s="1"/>
  <c r="AS33"/>
  <c r="AS67" s="1"/>
  <c r="BK5" i="1" s="1"/>
  <c r="AT22" i="27"/>
  <c r="AT68" s="1"/>
  <c r="AS22"/>
  <c r="AS68" s="1"/>
  <c r="BK6" i="1" s="1"/>
  <c r="AT18" i="27"/>
  <c r="AT69" s="1"/>
  <c r="AS18"/>
  <c r="AT15"/>
  <c r="AS15"/>
  <c r="AT9"/>
  <c r="AT66" s="1"/>
  <c r="AS9"/>
  <c r="AS66" l="1"/>
  <c r="BK4" i="1" s="1"/>
  <c r="BK3" s="1"/>
  <c r="BK15" s="1"/>
  <c r="BK17" s="1"/>
  <c r="AT71" i="27"/>
  <c r="AR65"/>
  <c r="AR70" s="1"/>
  <c r="AQ65"/>
  <c r="AQ70" s="1"/>
  <c r="BJ8" i="1" s="1"/>
  <c r="AR33" i="27"/>
  <c r="AR67" s="1"/>
  <c r="AQ33"/>
  <c r="AQ67" s="1"/>
  <c r="BJ5" i="1" s="1"/>
  <c r="AR22" i="27"/>
  <c r="AR68" s="1"/>
  <c r="AQ22"/>
  <c r="AQ68" s="1"/>
  <c r="BJ6" i="1" s="1"/>
  <c r="AR18" i="27"/>
  <c r="AR69" s="1"/>
  <c r="AQ18"/>
  <c r="AR15"/>
  <c r="AQ15"/>
  <c r="AR9"/>
  <c r="AR66" s="1"/>
  <c r="AQ9"/>
  <c r="BJ7" i="1"/>
  <c r="BJ9"/>
  <c r="BI7"/>
  <c r="BI9"/>
  <c r="AS71" i="27" l="1"/>
  <c r="AQ66"/>
  <c r="AQ71" s="1"/>
  <c r="AR71"/>
  <c r="BJ4" i="1"/>
  <c r="BJ3" s="1"/>
  <c r="BJ15" s="1"/>
  <c r="BJ17" s="1"/>
  <c r="AP65" i="27"/>
  <c r="AP70" s="1"/>
  <c r="AO65"/>
  <c r="AO70" s="1"/>
  <c r="BI8" i="1" s="1"/>
  <c r="AP33" i="27"/>
  <c r="AP67" s="1"/>
  <c r="AO33"/>
  <c r="AO67" s="1"/>
  <c r="BI5" i="1" s="1"/>
  <c r="AP22" i="27"/>
  <c r="AP68" s="1"/>
  <c r="AO22"/>
  <c r="AO68" s="1"/>
  <c r="BI6" i="1" s="1"/>
  <c r="AP18" i="27"/>
  <c r="AP69" s="1"/>
  <c r="AO18"/>
  <c r="AP15"/>
  <c r="AO15"/>
  <c r="AP9"/>
  <c r="AP66" s="1"/>
  <c r="AO9"/>
  <c r="BH7" i="1"/>
  <c r="AO66" i="27" l="1"/>
  <c r="AP71"/>
  <c r="AN65"/>
  <c r="AN70" s="1"/>
  <c r="AM65"/>
  <c r="AM70" s="1"/>
  <c r="BH8" i="1" s="1"/>
  <c r="AN33" i="27"/>
  <c r="AN67" s="1"/>
  <c r="AM33"/>
  <c r="AM67" s="1"/>
  <c r="BH5" i="1" s="1"/>
  <c r="AN22" i="27"/>
  <c r="AN68" s="1"/>
  <c r="AM22"/>
  <c r="AM68" s="1"/>
  <c r="BH6" i="1" s="1"/>
  <c r="AN18" i="27"/>
  <c r="AN69" s="1"/>
  <c r="AM18"/>
  <c r="AN15"/>
  <c r="AM15"/>
  <c r="AN9"/>
  <c r="AN66" s="1"/>
  <c r="AM9"/>
  <c r="AM66" s="1"/>
  <c r="BH4" i="1" s="1"/>
  <c r="BH3" s="1"/>
  <c r="AO71" i="27" l="1"/>
  <c r="BI4" i="1"/>
  <c r="BI3" s="1"/>
  <c r="BI15" s="1"/>
  <c r="BI17" s="1"/>
  <c r="AM71" i="27"/>
  <c r="AN71"/>
  <c r="BG7" i="1"/>
  <c r="AL65" i="27" l="1"/>
  <c r="AL70" s="1"/>
  <c r="AK65"/>
  <c r="AK70" s="1"/>
  <c r="BG8" i="1" s="1"/>
  <c r="AL33" i="27"/>
  <c r="AL67" s="1"/>
  <c r="AK33"/>
  <c r="AK67" s="1"/>
  <c r="BG5" i="1" s="1"/>
  <c r="AL22" i="27"/>
  <c r="AL68" s="1"/>
  <c r="AK22"/>
  <c r="AK68" s="1"/>
  <c r="BG6" i="1" s="1"/>
  <c r="AL18" i="27"/>
  <c r="AL69" s="1"/>
  <c r="AK18"/>
  <c r="AL15"/>
  <c r="AK15"/>
  <c r="AL9"/>
  <c r="AK9"/>
  <c r="AK66" s="1"/>
  <c r="BG4" i="1" s="1"/>
  <c r="BG3" s="1"/>
  <c r="BH9"/>
  <c r="BG9"/>
  <c r="BG15" l="1"/>
  <c r="BG17" s="1"/>
  <c r="AL66" i="27"/>
  <c r="AL71" s="1"/>
  <c r="AK71"/>
  <c r="BH15" i="1"/>
  <c r="BH17" s="1"/>
  <c r="AJ65" i="27"/>
  <c r="AJ70" s="1"/>
  <c r="AI65"/>
  <c r="AI70" s="1"/>
  <c r="BF8" i="1" s="1"/>
  <c r="AJ33" i="27"/>
  <c r="AJ67" s="1"/>
  <c r="AI33"/>
  <c r="AI67" s="1"/>
  <c r="BF5" i="1" s="1"/>
  <c r="AJ22" i="27"/>
  <c r="AJ68" s="1"/>
  <c r="AI22"/>
  <c r="AI68" s="1"/>
  <c r="BF6" i="1" s="1"/>
  <c r="AJ18" i="27"/>
  <c r="AJ69" s="1"/>
  <c r="AI18"/>
  <c r="AJ15"/>
  <c r="AI15"/>
  <c r="AJ9"/>
  <c r="AJ66" s="1"/>
  <c r="AI9"/>
  <c r="AI66" s="1"/>
  <c r="BF7" i="1"/>
  <c r="BF9"/>
  <c r="BE7"/>
  <c r="AJ71" i="27" l="1"/>
  <c r="BF4" i="1"/>
  <c r="BF3" s="1"/>
  <c r="BF15" s="1"/>
  <c r="BF17" s="1"/>
  <c r="AI71" i="27"/>
  <c r="AH65"/>
  <c r="AH70" s="1"/>
  <c r="AG65"/>
  <c r="AG70" s="1"/>
  <c r="BE8" i="1" s="1"/>
  <c r="AH33" i="27"/>
  <c r="AH67" s="1"/>
  <c r="AG33"/>
  <c r="AG67" s="1"/>
  <c r="BE5" i="1" s="1"/>
  <c r="AH22" i="27"/>
  <c r="AH68" s="1"/>
  <c r="AG22"/>
  <c r="AG68" s="1"/>
  <c r="BE6" i="1" s="1"/>
  <c r="AH18" i="27"/>
  <c r="AH69" s="1"/>
  <c r="AG18"/>
  <c r="AH15"/>
  <c r="AG15"/>
  <c r="AH9"/>
  <c r="AH66" s="1"/>
  <c r="AH71" s="1"/>
  <c r="AG9"/>
  <c r="BE9" i="1"/>
  <c r="AF65" i="27"/>
  <c r="AF70" s="1"/>
  <c r="AE65"/>
  <c r="AE70" s="1"/>
  <c r="BD8" i="1" s="1"/>
  <c r="AF33" i="27"/>
  <c r="AF67" s="1"/>
  <c r="AE33"/>
  <c r="AE67" s="1"/>
  <c r="BD5" i="1" s="1"/>
  <c r="AF22" i="27"/>
  <c r="AF68" s="1"/>
  <c r="AE22"/>
  <c r="AE68" s="1"/>
  <c r="BD6" i="1" s="1"/>
  <c r="AF18" i="27"/>
  <c r="AF69" s="1"/>
  <c r="AE18"/>
  <c r="AF15"/>
  <c r="AE15"/>
  <c r="AF9"/>
  <c r="AF66" s="1"/>
  <c r="AF71" s="1"/>
  <c r="AE9"/>
  <c r="BD7" i="1"/>
  <c r="BD9"/>
  <c r="AD65" i="27"/>
  <c r="AD70" s="1"/>
  <c r="AC65"/>
  <c r="AC70" s="1"/>
  <c r="BC8" i="1" s="1"/>
  <c r="AD33" i="27"/>
  <c r="AD67" s="1"/>
  <c r="AC33"/>
  <c r="AC67" s="1"/>
  <c r="BC5" i="1" s="1"/>
  <c r="AD22" i="27"/>
  <c r="AD68" s="1"/>
  <c r="AC22"/>
  <c r="AC68" s="1"/>
  <c r="BC6" i="1" s="1"/>
  <c r="AD18" i="27"/>
  <c r="AD69" s="1"/>
  <c r="AC18"/>
  <c r="AD15"/>
  <c r="AC15"/>
  <c r="AD9"/>
  <c r="AD66" s="1"/>
  <c r="AD71" s="1"/>
  <c r="AC9"/>
  <c r="AC66" s="1"/>
  <c r="BC7" i="1"/>
  <c r="AG66" i="27" l="1"/>
  <c r="BE4" i="1" s="1"/>
  <c r="BE3" s="1"/>
  <c r="BE15" s="1"/>
  <c r="BE17" s="1"/>
  <c r="AE66" i="27"/>
  <c r="BD4" i="1" s="1"/>
  <c r="BD3" s="1"/>
  <c r="BD15" s="1"/>
  <c r="BD17" s="1"/>
  <c r="AE71" i="27"/>
  <c r="BC4" i="1"/>
  <c r="BC3" s="1"/>
  <c r="AC71" i="27"/>
  <c r="AG71" l="1"/>
  <c r="BC9" i="1"/>
  <c r="BB7"/>
  <c r="BB9"/>
  <c r="BC15" l="1"/>
  <c r="BC17" s="1"/>
  <c r="AB65" i="27" l="1"/>
  <c r="AB70" s="1"/>
  <c r="AA65"/>
  <c r="AA70" s="1"/>
  <c r="BB8" i="1" s="1"/>
  <c r="AB33" i="27"/>
  <c r="AB67" s="1"/>
  <c r="AA33"/>
  <c r="AA67" s="1"/>
  <c r="BB5" i="1" s="1"/>
  <c r="AB22" i="27"/>
  <c r="AB68" s="1"/>
  <c r="AA22"/>
  <c r="AA68" s="1"/>
  <c r="BB6" i="1" s="1"/>
  <c r="AB18" i="27"/>
  <c r="AB69" s="1"/>
  <c r="AA18"/>
  <c r="AB15"/>
  <c r="AA15"/>
  <c r="AB9"/>
  <c r="AB66" s="1"/>
  <c r="AA9"/>
  <c r="BA7" i="1"/>
  <c r="BA9"/>
  <c r="Z9" i="27"/>
  <c r="Z65"/>
  <c r="Z70" s="1"/>
  <c r="Y65"/>
  <c r="Y70" s="1"/>
  <c r="BA8" i="1" s="1"/>
  <c r="Z33" i="27"/>
  <c r="Z67" s="1"/>
  <c r="Y33"/>
  <c r="Y67" s="1"/>
  <c r="BA5" i="1" s="1"/>
  <c r="Z22" i="27"/>
  <c r="Z68" s="1"/>
  <c r="Y22"/>
  <c r="Y68" s="1"/>
  <c r="BA6" i="1" s="1"/>
  <c r="Z18" i="27"/>
  <c r="Z69" s="1"/>
  <c r="Y18"/>
  <c r="Z15"/>
  <c r="Y15"/>
  <c r="Y9"/>
  <c r="AA66" l="1"/>
  <c r="BB4" i="1" s="1"/>
  <c r="BB3" s="1"/>
  <c r="BB15" s="1"/>
  <c r="BB17" s="1"/>
  <c r="AB71" i="27"/>
  <c r="Y66"/>
  <c r="BA4" i="1" s="1"/>
  <c r="BA3" s="1"/>
  <c r="BA15" s="1"/>
  <c r="BA17" s="1"/>
  <c r="Z66" i="27"/>
  <c r="Z71" s="1"/>
  <c r="Y71" l="1"/>
  <c r="AA71"/>
  <c r="X65"/>
  <c r="X70" s="1"/>
  <c r="W65"/>
  <c r="W70" s="1"/>
  <c r="AZ8" i="1" s="1"/>
  <c r="X33" i="27"/>
  <c r="X67" s="1"/>
  <c r="W33"/>
  <c r="W67" s="1"/>
  <c r="AZ5" i="1" s="1"/>
  <c r="X22" i="27"/>
  <c r="X68" s="1"/>
  <c r="W22"/>
  <c r="W68" s="1"/>
  <c r="AZ6" i="1" s="1"/>
  <c r="X18" i="27"/>
  <c r="X69" s="1"/>
  <c r="W18"/>
  <c r="X15"/>
  <c r="W15"/>
  <c r="X9"/>
  <c r="W9"/>
  <c r="AZ7" i="1"/>
  <c r="AZ9"/>
  <c r="AY7"/>
  <c r="AY9"/>
  <c r="V65" i="27"/>
  <c r="V70" s="1"/>
  <c r="U65"/>
  <c r="U70" s="1"/>
  <c r="AY8" i="1" s="1"/>
  <c r="V33" i="27"/>
  <c r="V67" s="1"/>
  <c r="U33"/>
  <c r="U67" s="1"/>
  <c r="AY5" i="1" s="1"/>
  <c r="V22" i="27"/>
  <c r="V68" s="1"/>
  <c r="U22"/>
  <c r="U68" s="1"/>
  <c r="AY6" i="1" s="1"/>
  <c r="V18" i="27"/>
  <c r="V69" s="1"/>
  <c r="U18"/>
  <c r="V15"/>
  <c r="U15"/>
  <c r="V9"/>
  <c r="V66" s="1"/>
  <c r="U9"/>
  <c r="T65"/>
  <c r="T70" s="1"/>
  <c r="S65"/>
  <c r="S70" s="1"/>
  <c r="T33"/>
  <c r="T67" s="1"/>
  <c r="S33"/>
  <c r="S67" s="1"/>
  <c r="T22"/>
  <c r="T68" s="1"/>
  <c r="S22"/>
  <c r="S68" s="1"/>
  <c r="T18"/>
  <c r="T69" s="1"/>
  <c r="S18"/>
  <c r="T15"/>
  <c r="S15"/>
  <c r="T9"/>
  <c r="T66" s="1"/>
  <c r="S9"/>
  <c r="W66" l="1"/>
  <c r="W71" s="1"/>
  <c r="X66"/>
  <c r="X71" s="1"/>
  <c r="AZ4" i="1"/>
  <c r="AZ3" s="1"/>
  <c r="AZ15" s="1"/>
  <c r="AZ17" s="1"/>
  <c r="U66" i="27"/>
  <c r="U71"/>
  <c r="V71"/>
  <c r="AY4" i="1"/>
  <c r="AY3" s="1"/>
  <c r="AY15" s="1"/>
  <c r="AY17" s="1"/>
  <c r="S66" i="27"/>
  <c r="T71"/>
  <c r="S71"/>
  <c r="AX4" i="1" l="1"/>
  <c r="AX5"/>
  <c r="AX6"/>
  <c r="AX7"/>
  <c r="AX8"/>
  <c r="AX9"/>
  <c r="AX3" l="1"/>
  <c r="AX15" s="1"/>
  <c r="AX17" s="1"/>
  <c r="R65" i="27"/>
  <c r="R70" s="1"/>
  <c r="Q65"/>
  <c r="Q70" s="1"/>
  <c r="AW8" i="1" s="1"/>
  <c r="R33" i="27"/>
  <c r="R67" s="1"/>
  <c r="Q33"/>
  <c r="Q67" s="1"/>
  <c r="AW5" i="1" s="1"/>
  <c r="R22" i="27"/>
  <c r="R68" s="1"/>
  <c r="Q22"/>
  <c r="Q68" s="1"/>
  <c r="AW6" i="1" s="1"/>
  <c r="R18" i="27"/>
  <c r="R69" s="1"/>
  <c r="Q18"/>
  <c r="R15"/>
  <c r="Q15"/>
  <c r="R9"/>
  <c r="Q9"/>
  <c r="Q66" s="1"/>
  <c r="AW7" i="1"/>
  <c r="AW9"/>
  <c r="R66" i="27" l="1"/>
  <c r="R71" s="1"/>
  <c r="AW4" i="1"/>
  <c r="AW3" s="1"/>
  <c r="AW15" s="1"/>
  <c r="AW17" s="1"/>
  <c r="Q71" i="27"/>
  <c r="P65"/>
  <c r="P70" s="1"/>
  <c r="O65"/>
  <c r="O70" s="1"/>
  <c r="P33"/>
  <c r="P67" s="1"/>
  <c r="O33"/>
  <c r="O67" s="1"/>
  <c r="P22"/>
  <c r="P68" s="1"/>
  <c r="O22"/>
  <c r="O68" s="1"/>
  <c r="P18"/>
  <c r="P69" s="1"/>
  <c r="O18"/>
  <c r="P15"/>
  <c r="O15"/>
  <c r="P9"/>
  <c r="P66" s="1"/>
  <c r="O9"/>
  <c r="O66" l="1"/>
  <c r="O71" s="1"/>
  <c r="P71"/>
  <c r="AV4" i="1" l="1"/>
  <c r="AV5"/>
  <c r="AV6"/>
  <c r="AV7"/>
  <c r="AV8"/>
  <c r="AV9"/>
  <c r="AV3" l="1"/>
  <c r="AV15" s="1"/>
  <c r="AV17" s="1"/>
  <c r="N65" i="27" l="1"/>
  <c r="N70" s="1"/>
  <c r="M65"/>
  <c r="M70" s="1"/>
  <c r="AU8" i="1" s="1"/>
  <c r="N33" i="27"/>
  <c r="N67" s="1"/>
  <c r="M33"/>
  <c r="M67" s="1"/>
  <c r="AU5" i="1" s="1"/>
  <c r="N22" i="27"/>
  <c r="N68" s="1"/>
  <c r="M22"/>
  <c r="M68" s="1"/>
  <c r="AU6" i="1" s="1"/>
  <c r="N18" i="27"/>
  <c r="N69" s="1"/>
  <c r="M18"/>
  <c r="N15"/>
  <c r="M15"/>
  <c r="N9"/>
  <c r="N66" s="1"/>
  <c r="N71" s="1"/>
  <c r="M9"/>
  <c r="AU7" i="1"/>
  <c r="AU9"/>
  <c r="M66" i="27" l="1"/>
  <c r="AU4" i="1" s="1"/>
  <c r="AU3" s="1"/>
  <c r="AU15" s="1"/>
  <c r="AU17" s="1"/>
  <c r="L65" i="27"/>
  <c r="L70" s="1"/>
  <c r="K65"/>
  <c r="L33"/>
  <c r="L67" s="1"/>
  <c r="K33"/>
  <c r="K67" s="1"/>
  <c r="AT5" i="1" s="1"/>
  <c r="L22" i="27"/>
  <c r="L68" s="1"/>
  <c r="K22"/>
  <c r="K68" s="1"/>
  <c r="AT6" i="1" s="1"/>
  <c r="L18" i="27"/>
  <c r="L69" s="1"/>
  <c r="K18"/>
  <c r="L15"/>
  <c r="K15"/>
  <c r="L9"/>
  <c r="L66" s="1"/>
  <c r="K9"/>
  <c r="AT7" i="1"/>
  <c r="AT9"/>
  <c r="J65" i="27"/>
  <c r="J70" s="1"/>
  <c r="I65"/>
  <c r="I70" s="1"/>
  <c r="J33"/>
  <c r="J67" s="1"/>
  <c r="I33"/>
  <c r="I67" s="1"/>
  <c r="J22"/>
  <c r="J68" s="1"/>
  <c r="I22"/>
  <c r="I68" s="1"/>
  <c r="J18"/>
  <c r="J69" s="1"/>
  <c r="I18"/>
  <c r="J15"/>
  <c r="I15"/>
  <c r="J9"/>
  <c r="J66" s="1"/>
  <c r="I9"/>
  <c r="M71" l="1"/>
  <c r="K66"/>
  <c r="K70"/>
  <c r="AT8" i="1" s="1"/>
  <c r="L71" i="27"/>
  <c r="AT4" i="1"/>
  <c r="I66" i="27"/>
  <c r="J71"/>
  <c r="I71"/>
  <c r="K71" l="1"/>
  <c r="AT3" i="1"/>
  <c r="AT15" s="1"/>
  <c r="AT17" s="1"/>
  <c r="AS4"/>
  <c r="AS5"/>
  <c r="AS6"/>
  <c r="AS7"/>
  <c r="AS8"/>
  <c r="AS9"/>
  <c r="AS3" l="1"/>
  <c r="AS15" s="1"/>
  <c r="AS17" s="1"/>
  <c r="AR7" l="1"/>
  <c r="AR9"/>
  <c r="H65" i="27" l="1"/>
  <c r="H70" s="1"/>
  <c r="G65"/>
  <c r="G70" s="1"/>
  <c r="AR8" i="1" s="1"/>
  <c r="F65" i="27"/>
  <c r="F70" s="1"/>
  <c r="E65"/>
  <c r="E70" s="1"/>
  <c r="D65"/>
  <c r="D70" s="1"/>
  <c r="C65"/>
  <c r="C70" s="1"/>
  <c r="H33"/>
  <c r="H67" s="1"/>
  <c r="G33"/>
  <c r="G67" s="1"/>
  <c r="AR5" i="1" s="1"/>
  <c r="F33" i="27"/>
  <c r="F67" s="1"/>
  <c r="E33"/>
  <c r="E67" s="1"/>
  <c r="D33"/>
  <c r="D67" s="1"/>
  <c r="C33"/>
  <c r="C67" s="1"/>
  <c r="H22"/>
  <c r="H68" s="1"/>
  <c r="G22"/>
  <c r="G68" s="1"/>
  <c r="AR6" i="1" s="1"/>
  <c r="F22" i="27"/>
  <c r="F68" s="1"/>
  <c r="E22"/>
  <c r="E68" s="1"/>
  <c r="D22"/>
  <c r="D68" s="1"/>
  <c r="C22"/>
  <c r="C68" s="1"/>
  <c r="H18"/>
  <c r="H69" s="1"/>
  <c r="G18"/>
  <c r="F18"/>
  <c r="F69" s="1"/>
  <c r="E18"/>
  <c r="D18"/>
  <c r="D69" s="1"/>
  <c r="C18"/>
  <c r="H15"/>
  <c r="G15"/>
  <c r="F15"/>
  <c r="E15"/>
  <c r="D15"/>
  <c r="C15"/>
  <c r="H9"/>
  <c r="G9"/>
  <c r="F9"/>
  <c r="F66" s="1"/>
  <c r="F71" s="1"/>
  <c r="E9"/>
  <c r="E66" s="1"/>
  <c r="E71" s="1"/>
  <c r="D9"/>
  <c r="D66" s="1"/>
  <c r="D71" s="1"/>
  <c r="C9"/>
  <c r="C66" s="1"/>
  <c r="C71" s="1"/>
  <c r="AP67" i="26"/>
  <c r="G66" i="27" l="1"/>
  <c r="AR4" i="1" s="1"/>
  <c r="AR3" s="1"/>
  <c r="AR15" s="1"/>
  <c r="AR17" s="1"/>
  <c r="H66" i="27"/>
  <c r="H71" s="1"/>
  <c r="G71"/>
  <c r="AQ7" i="1"/>
  <c r="AQ9"/>
  <c r="AP72" i="26"/>
  <c r="AO67"/>
  <c r="AO72" s="1"/>
  <c r="AP35"/>
  <c r="AP69" s="1"/>
  <c r="AO35"/>
  <c r="AO69" s="1"/>
  <c r="AQ5" i="1" s="1"/>
  <c r="AP22" i="26"/>
  <c r="AP70" s="1"/>
  <c r="AO22"/>
  <c r="AO70" s="1"/>
  <c r="AQ6" i="1" s="1"/>
  <c r="AP18" i="26"/>
  <c r="AP71" s="1"/>
  <c r="AO18"/>
  <c r="AP15"/>
  <c r="AO15"/>
  <c r="AP9"/>
  <c r="AP68" s="1"/>
  <c r="AO9"/>
  <c r="AQ8" i="1" l="1"/>
  <c r="AO68" i="26"/>
  <c r="AO73"/>
  <c r="AP73"/>
  <c r="AQ4" i="1"/>
  <c r="AQ3" s="1"/>
  <c r="AQ15" s="1"/>
  <c r="AQ17" s="1"/>
  <c r="AP7"/>
  <c r="AP9"/>
  <c r="AN67" i="26"/>
  <c r="AN72" s="1"/>
  <c r="AM67"/>
  <c r="AM72" s="1"/>
  <c r="AP8" i="1" s="1"/>
  <c r="AN35" i="26"/>
  <c r="AN69" s="1"/>
  <c r="AM35"/>
  <c r="AM69" s="1"/>
  <c r="AP5" i="1" s="1"/>
  <c r="AN22" i="26"/>
  <c r="AN70" s="1"/>
  <c r="AM22"/>
  <c r="AM70" s="1"/>
  <c r="AP6" i="1" s="1"/>
  <c r="AN18" i="26"/>
  <c r="AN71" s="1"/>
  <c r="AM18"/>
  <c r="AN15"/>
  <c r="AM15"/>
  <c r="AN9"/>
  <c r="AN68" s="1"/>
  <c r="AM9"/>
  <c r="AO7" i="1"/>
  <c r="AN73" i="26" l="1"/>
  <c r="AM68"/>
  <c r="AM73" s="1"/>
  <c r="AL67"/>
  <c r="AL72" s="1"/>
  <c r="AK67"/>
  <c r="AK72" s="1"/>
  <c r="AO8" i="1" s="1"/>
  <c r="AL35" i="26"/>
  <c r="AL69" s="1"/>
  <c r="AK35"/>
  <c r="AK69" s="1"/>
  <c r="AO5" i="1" s="1"/>
  <c r="AL22" i="26"/>
  <c r="AL70" s="1"/>
  <c r="AK22"/>
  <c r="AK70" s="1"/>
  <c r="AO6" i="1" s="1"/>
  <c r="AL18" i="26"/>
  <c r="AL71" s="1"/>
  <c r="AK18"/>
  <c r="AL15"/>
  <c r="AK15"/>
  <c r="AL9"/>
  <c r="AL68" s="1"/>
  <c r="AK9"/>
  <c r="AK68" s="1"/>
  <c r="AO4" i="1" s="1"/>
  <c r="AO3" s="1"/>
  <c r="AO9"/>
  <c r="AN7"/>
  <c r="AP4" l="1"/>
  <c r="AP3" s="1"/>
  <c r="AP15" s="1"/>
  <c r="AP17" s="1"/>
  <c r="AO15"/>
  <c r="AO17" s="1"/>
  <c r="AK73" i="26"/>
  <c r="AL73"/>
  <c r="AJ67"/>
  <c r="AJ72" s="1"/>
  <c r="AI67"/>
  <c r="AI72" s="1"/>
  <c r="AN8" i="1" s="1"/>
  <c r="AJ35" i="26"/>
  <c r="AJ69" s="1"/>
  <c r="AI35"/>
  <c r="AI69" s="1"/>
  <c r="AN5" i="1" s="1"/>
  <c r="AJ22" i="26"/>
  <c r="AJ70" s="1"/>
  <c r="AI22"/>
  <c r="AI70" s="1"/>
  <c r="AN6" i="1" s="1"/>
  <c r="AJ18" i="26"/>
  <c r="AJ71" s="1"/>
  <c r="AI18"/>
  <c r="AJ15"/>
  <c r="AI15"/>
  <c r="AJ9"/>
  <c r="AI9"/>
  <c r="AN9" i="1"/>
  <c r="AM7"/>
  <c r="AM9"/>
  <c r="AJ68" i="26" l="1"/>
  <c r="AI68"/>
  <c r="AJ73"/>
  <c r="AH67"/>
  <c r="AH72" s="1"/>
  <c r="AG67"/>
  <c r="AG72" s="1"/>
  <c r="AM8" i="1" s="1"/>
  <c r="AH35" i="26"/>
  <c r="AH69" s="1"/>
  <c r="AG35"/>
  <c r="AG69" s="1"/>
  <c r="AM5" i="1" s="1"/>
  <c r="AH22" i="26"/>
  <c r="AH70" s="1"/>
  <c r="AG22"/>
  <c r="AG70" s="1"/>
  <c r="AM6" i="1" s="1"/>
  <c r="AH18" i="26"/>
  <c r="AH71" s="1"/>
  <c r="AG18"/>
  <c r="AH15"/>
  <c r="AG15"/>
  <c r="AH9"/>
  <c r="AH68" s="1"/>
  <c r="AG9"/>
  <c r="AG68" s="1"/>
  <c r="AM4" i="1" s="1"/>
  <c r="AM3" s="1"/>
  <c r="AM15" s="1"/>
  <c r="AM17" s="1"/>
  <c r="AF67" i="26"/>
  <c r="AF72" s="1"/>
  <c r="AE67"/>
  <c r="AE72" s="1"/>
  <c r="AL8" i="1" s="1"/>
  <c r="AF35" i="26"/>
  <c r="AF69" s="1"/>
  <c r="AE35"/>
  <c r="AE69" s="1"/>
  <c r="AL5" i="1" s="1"/>
  <c r="AF22" i="26"/>
  <c r="AF70" s="1"/>
  <c r="AE22"/>
  <c r="AE70" s="1"/>
  <c r="AL6" i="1" s="1"/>
  <c r="AF18" i="26"/>
  <c r="AF71" s="1"/>
  <c r="AE18"/>
  <c r="AF15"/>
  <c r="AE15"/>
  <c r="AF9"/>
  <c r="AF68" s="1"/>
  <c r="AE9"/>
  <c r="AL7" i="1"/>
  <c r="AL9"/>
  <c r="AD67" i="26"/>
  <c r="AD72" s="1"/>
  <c r="AC67"/>
  <c r="AC72" s="1"/>
  <c r="AK8" i="1" s="1"/>
  <c r="AD35" i="26"/>
  <c r="AD69" s="1"/>
  <c r="AC35"/>
  <c r="AC69" s="1"/>
  <c r="AK5" i="1" s="1"/>
  <c r="AD22" i="26"/>
  <c r="AD70" s="1"/>
  <c r="AC22"/>
  <c r="AC70" s="1"/>
  <c r="AK6" i="1" s="1"/>
  <c r="AD18" i="26"/>
  <c r="AD71" s="1"/>
  <c r="AC18"/>
  <c r="AD15"/>
  <c r="AC15"/>
  <c r="AD9"/>
  <c r="AC9"/>
  <c r="AC68" s="1"/>
  <c r="AK7" i="1"/>
  <c r="AK9"/>
  <c r="AB67" i="26"/>
  <c r="AB72" s="1"/>
  <c r="AA67"/>
  <c r="AA72" s="1"/>
  <c r="AJ8" i="1" s="1"/>
  <c r="AB35" i="26"/>
  <c r="AB69" s="1"/>
  <c r="AA35"/>
  <c r="AA69" s="1"/>
  <c r="AJ5" i="1" s="1"/>
  <c r="AB22" i="26"/>
  <c r="AB70" s="1"/>
  <c r="AA22"/>
  <c r="AA70" s="1"/>
  <c r="AJ6" i="1" s="1"/>
  <c r="AB18" i="26"/>
  <c r="AB71" s="1"/>
  <c r="AA18"/>
  <c r="AB15"/>
  <c r="AA15"/>
  <c r="AB9"/>
  <c r="AB68" s="1"/>
  <c r="AA9"/>
  <c r="AA68" s="1"/>
  <c r="AJ7" i="1"/>
  <c r="AJ9"/>
  <c r="AI73" i="26" l="1"/>
  <c r="AN4" i="1"/>
  <c r="AN3" s="1"/>
  <c r="AN15" s="1"/>
  <c r="AN17" s="1"/>
  <c r="AH73" i="26"/>
  <c r="AG73"/>
  <c r="AE68"/>
  <c r="AE73" s="1"/>
  <c r="AF73"/>
  <c r="AL4" i="1"/>
  <c r="AL3" s="1"/>
  <c r="AL15" s="1"/>
  <c r="AL17" s="1"/>
  <c r="AD68" i="26"/>
  <c r="AD73" s="1"/>
  <c r="AK4" i="1"/>
  <c r="AK3" s="1"/>
  <c r="AK15" s="1"/>
  <c r="AK17" s="1"/>
  <c r="AC73" i="26"/>
  <c r="AB73"/>
  <c r="AJ4" i="1"/>
  <c r="AJ3" s="1"/>
  <c r="AJ15" s="1"/>
  <c r="AJ17" s="1"/>
  <c r="AA73" i="26"/>
  <c r="AI7" i="1"/>
  <c r="AI9"/>
  <c r="Z67" i="26"/>
  <c r="Z72" s="1"/>
  <c r="Y67"/>
  <c r="Y72" s="1"/>
  <c r="AI8" i="1" s="1"/>
  <c r="Z35" i="26"/>
  <c r="Z69" s="1"/>
  <c r="Y35"/>
  <c r="Y69" s="1"/>
  <c r="AI5" i="1" s="1"/>
  <c r="Z22" i="26"/>
  <c r="Z70" s="1"/>
  <c r="Y22"/>
  <c r="Y70" s="1"/>
  <c r="AI6" i="1" s="1"/>
  <c r="Z18" i="26"/>
  <c r="Z71" s="1"/>
  <c r="Y18"/>
  <c r="Z15"/>
  <c r="Y15"/>
  <c r="Z9"/>
  <c r="Z68" s="1"/>
  <c r="Y9"/>
  <c r="Y68" l="1"/>
  <c r="AI4" i="1" s="1"/>
  <c r="AI3" s="1"/>
  <c r="AI15" s="1"/>
  <c r="AI17" s="1"/>
  <c r="Z73" i="26"/>
  <c r="Y73" l="1"/>
  <c r="AH9" i="1"/>
  <c r="AH7"/>
  <c r="X67" i="26" l="1"/>
  <c r="X72" s="1"/>
  <c r="W67"/>
  <c r="W72" s="1"/>
  <c r="AH8" i="1" s="1"/>
  <c r="X35" i="26"/>
  <c r="X69" s="1"/>
  <c r="W35"/>
  <c r="W69" s="1"/>
  <c r="AH5" i="1" s="1"/>
  <c r="X22" i="26"/>
  <c r="X70" s="1"/>
  <c r="W22"/>
  <c r="W70" s="1"/>
  <c r="AH6" i="1" s="1"/>
  <c r="X18" i="26"/>
  <c r="X71" s="1"/>
  <c r="W18"/>
  <c r="X15"/>
  <c r="W15"/>
  <c r="X9"/>
  <c r="X68" s="1"/>
  <c r="W9"/>
  <c r="W68" l="1"/>
  <c r="AH4" i="1" s="1"/>
  <c r="AH3" s="1"/>
  <c r="AH15" s="1"/>
  <c r="AH17" s="1"/>
  <c r="X73" i="26"/>
  <c r="W73"/>
  <c r="AG7" i="1" l="1"/>
  <c r="V67" i="26" l="1"/>
  <c r="V72" s="1"/>
  <c r="U67"/>
  <c r="U72" s="1"/>
  <c r="AG8" i="1" s="1"/>
  <c r="V35" i="26"/>
  <c r="V69" s="1"/>
  <c r="U35"/>
  <c r="U69" s="1"/>
  <c r="AG5" i="1" s="1"/>
  <c r="V22" i="26"/>
  <c r="V70" s="1"/>
  <c r="U22"/>
  <c r="U70" s="1"/>
  <c r="AG6" i="1" s="1"/>
  <c r="V18" i="26"/>
  <c r="V71" s="1"/>
  <c r="U18"/>
  <c r="V15"/>
  <c r="U15"/>
  <c r="V9"/>
  <c r="V68" s="1"/>
  <c r="U9"/>
  <c r="U68" s="1"/>
  <c r="AG9" i="1"/>
  <c r="AF7"/>
  <c r="AF9"/>
  <c r="T67" i="26"/>
  <c r="T72" s="1"/>
  <c r="S67"/>
  <c r="S72" s="1"/>
  <c r="AF8" i="1" s="1"/>
  <c r="T35" i="26"/>
  <c r="T69" s="1"/>
  <c r="S35"/>
  <c r="S69" s="1"/>
  <c r="AF5" i="1" s="1"/>
  <c r="T22" i="26"/>
  <c r="T70" s="1"/>
  <c r="S22"/>
  <c r="S70" s="1"/>
  <c r="AF6" i="1" s="1"/>
  <c r="T18" i="26"/>
  <c r="T71" s="1"/>
  <c r="S18"/>
  <c r="T15"/>
  <c r="S15"/>
  <c r="T9"/>
  <c r="T68" s="1"/>
  <c r="S9"/>
  <c r="AE7" i="1"/>
  <c r="AE9"/>
  <c r="U73" i="26" l="1"/>
  <c r="AG4" i="1"/>
  <c r="AG3" s="1"/>
  <c r="AG15" s="1"/>
  <c r="AG17" s="1"/>
  <c r="V73" i="26"/>
  <c r="T73"/>
  <c r="S68"/>
  <c r="S73" s="1"/>
  <c r="Q67"/>
  <c r="Q72" s="1"/>
  <c r="AE8" i="1" s="1"/>
  <c r="R67" i="26"/>
  <c r="R72" s="1"/>
  <c r="R35"/>
  <c r="R69" s="1"/>
  <c r="Q35"/>
  <c r="Q69" s="1"/>
  <c r="AE5" i="1" s="1"/>
  <c r="R22" i="26"/>
  <c r="R70" s="1"/>
  <c r="Q22"/>
  <c r="Q70" s="1"/>
  <c r="AE6" i="1" s="1"/>
  <c r="R18" i="26"/>
  <c r="R71" s="1"/>
  <c r="Q18"/>
  <c r="R15"/>
  <c r="Q15"/>
  <c r="R9"/>
  <c r="R68" s="1"/>
  <c r="Q9"/>
  <c r="AF4" i="1" l="1"/>
  <c r="AF3" s="1"/>
  <c r="AF15" s="1"/>
  <c r="AF17" s="1"/>
  <c r="Q68" i="26"/>
  <c r="R73"/>
  <c r="Q73" l="1"/>
  <c r="AE4" i="1"/>
  <c r="AE3" s="1"/>
  <c r="AE15" s="1"/>
  <c r="AE17" s="1"/>
  <c r="AD7"/>
  <c r="AD9"/>
  <c r="P67" i="26"/>
  <c r="P72" s="1"/>
  <c r="O67"/>
  <c r="O72" s="1"/>
  <c r="AD8" i="1" s="1"/>
  <c r="P35" i="26"/>
  <c r="P69" s="1"/>
  <c r="O35"/>
  <c r="O69" s="1"/>
  <c r="AD5" i="1" s="1"/>
  <c r="P22" i="26"/>
  <c r="P70" s="1"/>
  <c r="O22"/>
  <c r="O70" s="1"/>
  <c r="AD6" i="1" s="1"/>
  <c r="P18" i="26"/>
  <c r="P71" s="1"/>
  <c r="O18"/>
  <c r="P15"/>
  <c r="O15"/>
  <c r="P9"/>
  <c r="P68" s="1"/>
  <c r="O9"/>
  <c r="O68" s="1"/>
  <c r="O73" l="1"/>
  <c r="P73"/>
  <c r="AD4" i="1"/>
  <c r="AD3" s="1"/>
  <c r="AD15" s="1"/>
  <c r="AD17" s="1"/>
  <c r="AC7" l="1"/>
  <c r="AC9"/>
  <c r="N67" i="26"/>
  <c r="N72" s="1"/>
  <c r="M67"/>
  <c r="M72" s="1"/>
  <c r="AC8" i="1" s="1"/>
  <c r="N35" i="26"/>
  <c r="N69" s="1"/>
  <c r="M35"/>
  <c r="M69" s="1"/>
  <c r="AC5" i="1" s="1"/>
  <c r="N22" i="26"/>
  <c r="N70" s="1"/>
  <c r="M22"/>
  <c r="M70" s="1"/>
  <c r="AC6" i="1" s="1"/>
  <c r="N18" i="26"/>
  <c r="N71" s="1"/>
  <c r="M18"/>
  <c r="N15"/>
  <c r="M15"/>
  <c r="N9"/>
  <c r="N68" s="1"/>
  <c r="M9"/>
  <c r="M68" s="1"/>
  <c r="M73" l="1"/>
  <c r="N73"/>
  <c r="AC4" i="1"/>
  <c r="AC3" s="1"/>
  <c r="AC15" s="1"/>
  <c r="AC17" s="1"/>
  <c r="AB7"/>
  <c r="AB9"/>
  <c r="L67" i="26"/>
  <c r="L72" s="1"/>
  <c r="K67"/>
  <c r="K72" s="1"/>
  <c r="AB8" i="1" s="1"/>
  <c r="L35" i="26"/>
  <c r="L69" s="1"/>
  <c r="K35"/>
  <c r="K69" s="1"/>
  <c r="AB5" i="1" s="1"/>
  <c r="L22" i="26"/>
  <c r="L70" s="1"/>
  <c r="K22"/>
  <c r="K70" s="1"/>
  <c r="AB6" i="1" s="1"/>
  <c r="L18" i="26"/>
  <c r="L71" s="1"/>
  <c r="K18"/>
  <c r="L15"/>
  <c r="K15"/>
  <c r="L9"/>
  <c r="L68" s="1"/>
  <c r="K9"/>
  <c r="AA7" i="1"/>
  <c r="AA9"/>
  <c r="J67" i="26"/>
  <c r="J72" s="1"/>
  <c r="I67"/>
  <c r="I72" s="1"/>
  <c r="AA8" i="1" s="1"/>
  <c r="J35" i="26"/>
  <c r="J69" s="1"/>
  <c r="I35"/>
  <c r="I69" s="1"/>
  <c r="AA5" i="1" s="1"/>
  <c r="J22" i="26"/>
  <c r="J70" s="1"/>
  <c r="I22"/>
  <c r="I70" s="1"/>
  <c r="AA6" i="1" s="1"/>
  <c r="J18" i="26"/>
  <c r="J71" s="1"/>
  <c r="I18"/>
  <c r="J15"/>
  <c r="I15"/>
  <c r="J9"/>
  <c r="I9"/>
  <c r="K68" l="1"/>
  <c r="K73" s="1"/>
  <c r="L73"/>
  <c r="I68"/>
  <c r="I73" s="1"/>
  <c r="J68"/>
  <c r="J73" s="1"/>
  <c r="AA4" i="1"/>
  <c r="AA3" s="1"/>
  <c r="AA15" s="1"/>
  <c r="AA17" s="1"/>
  <c r="H67" i="26"/>
  <c r="H72" s="1"/>
  <c r="G67"/>
  <c r="G72" s="1"/>
  <c r="Z8" i="1" s="1"/>
  <c r="H35" i="26"/>
  <c r="H69" s="1"/>
  <c r="G35"/>
  <c r="G69" s="1"/>
  <c r="Z5" i="1" s="1"/>
  <c r="H22" i="26"/>
  <c r="H70" s="1"/>
  <c r="G22"/>
  <c r="G70" s="1"/>
  <c r="Z6" i="1" s="1"/>
  <c r="H18" i="26"/>
  <c r="H71" s="1"/>
  <c r="G18"/>
  <c r="H15"/>
  <c r="G15"/>
  <c r="H9"/>
  <c r="G9"/>
  <c r="G68" s="1"/>
  <c r="Z7" i="1"/>
  <c r="Z9"/>
  <c r="AB4" l="1"/>
  <c r="AB3" s="1"/>
  <c r="AB15" s="1"/>
  <c r="AB17" s="1"/>
  <c r="H68" i="26"/>
  <c r="H73" s="1"/>
  <c r="G73"/>
  <c r="Z4" i="1"/>
  <c r="Z3" s="1"/>
  <c r="Z15" s="1"/>
  <c r="Z17" s="1"/>
  <c r="F67" i="26" l="1"/>
  <c r="F72" s="1"/>
  <c r="E67"/>
  <c r="E72" s="1"/>
  <c r="Y8" i="1" s="1"/>
  <c r="F35" i="26"/>
  <c r="F69" s="1"/>
  <c r="E35"/>
  <c r="E69" s="1"/>
  <c r="Y5" i="1" s="1"/>
  <c r="F22" i="26"/>
  <c r="F70" s="1"/>
  <c r="E22"/>
  <c r="E70" s="1"/>
  <c r="Y6" i="1" s="1"/>
  <c r="F18" i="26"/>
  <c r="F71" s="1"/>
  <c r="E18"/>
  <c r="F15"/>
  <c r="E15"/>
  <c r="F9"/>
  <c r="E9"/>
  <c r="E68" s="1"/>
  <c r="Y7" i="1"/>
  <c r="Y9"/>
  <c r="F68" i="26" l="1"/>
  <c r="F73" s="1"/>
  <c r="Y4" i="1"/>
  <c r="Y3" s="1"/>
  <c r="Y15" s="1"/>
  <c r="Y17" s="1"/>
  <c r="E73" i="26"/>
  <c r="X7" i="1"/>
  <c r="X9"/>
  <c r="D67" i="26"/>
  <c r="D72" s="1"/>
  <c r="C67"/>
  <c r="C72" s="1"/>
  <c r="X8" i="1" s="1"/>
  <c r="D35" i="26"/>
  <c r="D69" s="1"/>
  <c r="C35"/>
  <c r="C69" s="1"/>
  <c r="X5" i="1" s="1"/>
  <c r="D22" i="26"/>
  <c r="D70" s="1"/>
  <c r="C22"/>
  <c r="C70" s="1"/>
  <c r="X6" i="1" s="1"/>
  <c r="D18" i="26"/>
  <c r="D71" s="1"/>
  <c r="C18"/>
  <c r="D15"/>
  <c r="C15"/>
  <c r="D9"/>
  <c r="D68" s="1"/>
  <c r="C9"/>
  <c r="C68" s="1"/>
  <c r="AT66" i="25"/>
  <c r="AT71" s="1"/>
  <c r="AS66"/>
  <c r="AS71" s="1"/>
  <c r="W8" i="1" s="1"/>
  <c r="AT35" i="25"/>
  <c r="AT68" s="1"/>
  <c r="AS35"/>
  <c r="AS68" s="1"/>
  <c r="W5" i="1" s="1"/>
  <c r="AT22" i="25"/>
  <c r="AT69" s="1"/>
  <c r="AS22"/>
  <c r="AS69" s="1"/>
  <c r="W6" i="1" s="1"/>
  <c r="AT18" i="25"/>
  <c r="AT70" s="1"/>
  <c r="AS18"/>
  <c r="AT15"/>
  <c r="AS15"/>
  <c r="AT9"/>
  <c r="AT67" s="1"/>
  <c r="AS9"/>
  <c r="W7" i="1"/>
  <c r="W9"/>
  <c r="C73" i="26" l="1"/>
  <c r="D73"/>
  <c r="X4" i="1"/>
  <c r="X3" s="1"/>
  <c r="X15" s="1"/>
  <c r="X17" s="1"/>
  <c r="AS67" i="25"/>
  <c r="AS72" s="1"/>
  <c r="AT72"/>
  <c r="W4" i="1"/>
  <c r="W3" s="1"/>
  <c r="W15" s="1"/>
  <c r="W17" s="1"/>
  <c r="AR66" i="25" l="1"/>
  <c r="AR71" s="1"/>
  <c r="AQ66"/>
  <c r="AQ71" s="1"/>
  <c r="V8" i="1" s="1"/>
  <c r="AQ35" i="25"/>
  <c r="AQ68" s="1"/>
  <c r="V5" i="1" s="1"/>
  <c r="AR35" i="25"/>
  <c r="AR68" s="1"/>
  <c r="AR22"/>
  <c r="AR69" s="1"/>
  <c r="AQ22"/>
  <c r="AQ69" s="1"/>
  <c r="V6" i="1" s="1"/>
  <c r="AR18" i="25"/>
  <c r="AR70" s="1"/>
  <c r="AQ18"/>
  <c r="AR15"/>
  <c r="AQ15"/>
  <c r="AR9"/>
  <c r="AQ9"/>
  <c r="V7" i="1"/>
  <c r="V9"/>
  <c r="AQ67" i="25" l="1"/>
  <c r="AR67"/>
  <c r="AR72" s="1"/>
  <c r="AQ72"/>
  <c r="V4" i="1"/>
  <c r="V3" s="1"/>
  <c r="V15" s="1"/>
  <c r="V17" s="1"/>
  <c r="AP33" i="25"/>
  <c r="AP31"/>
  <c r="AP29"/>
  <c r="AP27"/>
  <c r="AP25"/>
  <c r="AP34"/>
  <c r="AP32"/>
  <c r="AP30"/>
  <c r="AP28"/>
  <c r="AP26"/>
  <c r="AP24"/>
  <c r="AP66" l="1"/>
  <c r="AP71" s="1"/>
  <c r="AO66"/>
  <c r="AO71" s="1"/>
  <c r="U8" i="1" s="1"/>
  <c r="AP35" i="25"/>
  <c r="AP68" s="1"/>
  <c r="AO35"/>
  <c r="AO68" s="1"/>
  <c r="U5" i="1" s="1"/>
  <c r="AP22" i="25"/>
  <c r="AP69" s="1"/>
  <c r="AO22"/>
  <c r="AO69" s="1"/>
  <c r="U6" i="1" s="1"/>
  <c r="AP18" i="25"/>
  <c r="AP70" s="1"/>
  <c r="AO18"/>
  <c r="AP15"/>
  <c r="AO15"/>
  <c r="AP9"/>
  <c r="AP67" s="1"/>
  <c r="AO9"/>
  <c r="AO67" s="1"/>
  <c r="U7" i="1"/>
  <c r="U9"/>
  <c r="AP72" i="25" l="1"/>
  <c r="U4" i="1"/>
  <c r="U3" s="1"/>
  <c r="U15" s="1"/>
  <c r="U17" s="1"/>
  <c r="AO72" i="25"/>
  <c r="T7" i="1" l="1"/>
  <c r="AN66" i="25" l="1"/>
  <c r="AN71" s="1"/>
  <c r="AM66"/>
  <c r="AM71" s="1"/>
  <c r="T8" i="1" s="1"/>
  <c r="AN35" i="25"/>
  <c r="AN68" s="1"/>
  <c r="AM35"/>
  <c r="AM68" s="1"/>
  <c r="T5" i="1" s="1"/>
  <c r="AN22" i="25"/>
  <c r="AN69" s="1"/>
  <c r="AM22"/>
  <c r="AM69" s="1"/>
  <c r="T6" i="1" s="1"/>
  <c r="AN18" i="25"/>
  <c r="AN70" s="1"/>
  <c r="AM18"/>
  <c r="AN15"/>
  <c r="AM15"/>
  <c r="AN9"/>
  <c r="AN67" s="1"/>
  <c r="AM9"/>
  <c r="AM67" s="1"/>
  <c r="T4" i="1" s="1"/>
  <c r="T9"/>
  <c r="S7"/>
  <c r="S9"/>
  <c r="AL66" i="25"/>
  <c r="AL71" s="1"/>
  <c r="AK66"/>
  <c r="AK71" s="1"/>
  <c r="S8" i="1" s="1"/>
  <c r="AL35" i="25"/>
  <c r="AL68" s="1"/>
  <c r="AK35"/>
  <c r="AK68" s="1"/>
  <c r="S5" i="1" s="1"/>
  <c r="AL22" i="25"/>
  <c r="AL69" s="1"/>
  <c r="AK22"/>
  <c r="AK69" s="1"/>
  <c r="S6" i="1" s="1"/>
  <c r="AL18" i="25"/>
  <c r="AL70" s="1"/>
  <c r="AK18"/>
  <c r="AL15"/>
  <c r="AK15"/>
  <c r="AL9"/>
  <c r="AL67" s="1"/>
  <c r="AK9"/>
  <c r="T3" i="1" l="1"/>
  <c r="T15" s="1"/>
  <c r="T17" s="1"/>
  <c r="AM72" i="25"/>
  <c r="AN72"/>
  <c r="AK67"/>
  <c r="AK72" s="1"/>
  <c r="AL72"/>
  <c r="S4" i="1" l="1"/>
  <c r="S3" s="1"/>
  <c r="S15" s="1"/>
  <c r="S17" s="1"/>
  <c r="AJ66" i="25" l="1"/>
  <c r="AJ71" s="1"/>
  <c r="AI66"/>
  <c r="AI71" s="1"/>
  <c r="R8" i="1" s="1"/>
  <c r="AJ35" i="25"/>
  <c r="AJ68" s="1"/>
  <c r="AI35"/>
  <c r="AI68" s="1"/>
  <c r="R5" i="1" s="1"/>
  <c r="AJ22" i="25"/>
  <c r="AJ69" s="1"/>
  <c r="AI22"/>
  <c r="AI69" s="1"/>
  <c r="R6" i="1" s="1"/>
  <c r="AJ18" i="25"/>
  <c r="AJ70" s="1"/>
  <c r="AI18"/>
  <c r="AJ15"/>
  <c r="AI15"/>
  <c r="AJ9"/>
  <c r="AI9"/>
  <c r="R7" i="1"/>
  <c r="R9"/>
  <c r="Q7"/>
  <c r="Q9"/>
  <c r="AH66" i="25"/>
  <c r="AH71" s="1"/>
  <c r="AG66"/>
  <c r="AG71" s="1"/>
  <c r="Q8" i="1" s="1"/>
  <c r="AH35" i="25"/>
  <c r="AH68" s="1"/>
  <c r="AG35"/>
  <c r="AG68" s="1"/>
  <c r="Q5" i="1" s="1"/>
  <c r="AH22" i="25"/>
  <c r="AH69" s="1"/>
  <c r="AG22"/>
  <c r="AG69" s="1"/>
  <c r="Q6" i="1" s="1"/>
  <c r="AH18" i="25"/>
  <c r="AH70" s="1"/>
  <c r="AG18"/>
  <c r="AH15"/>
  <c r="AG15"/>
  <c r="AH9"/>
  <c r="AH67" s="1"/>
  <c r="AG9"/>
  <c r="P7" i="1"/>
  <c r="P9"/>
  <c r="AI67" i="25" l="1"/>
  <c r="AI72" s="1"/>
  <c r="AJ67"/>
  <c r="AJ72" s="1"/>
  <c r="R4" i="1"/>
  <c r="R3" s="1"/>
  <c r="R15" s="1"/>
  <c r="R17" s="1"/>
  <c r="AG67" i="25"/>
  <c r="AG72" s="1"/>
  <c r="AH72"/>
  <c r="AF66"/>
  <c r="AF71" s="1"/>
  <c r="AE66"/>
  <c r="AE71" s="1"/>
  <c r="P8" i="1" s="1"/>
  <c r="AF35" i="25"/>
  <c r="AF68" s="1"/>
  <c r="AE35"/>
  <c r="AE68" s="1"/>
  <c r="P5" i="1" s="1"/>
  <c r="AF22" i="25"/>
  <c r="AF69" s="1"/>
  <c r="AE22"/>
  <c r="AE69" s="1"/>
  <c r="P6" i="1" s="1"/>
  <c r="AF18" i="25"/>
  <c r="AF70" s="1"/>
  <c r="AE18"/>
  <c r="AF15"/>
  <c r="AE15"/>
  <c r="AF9"/>
  <c r="AF67" s="1"/>
  <c r="AE9"/>
  <c r="AE67" s="1"/>
  <c r="P4" i="1" s="1"/>
  <c r="P3" s="1"/>
  <c r="P15" s="1"/>
  <c r="P17" s="1"/>
  <c r="AD66" i="25"/>
  <c r="AD71" s="1"/>
  <c r="AC66"/>
  <c r="AC71" s="1"/>
  <c r="O8" i="1" s="1"/>
  <c r="AD35" i="25"/>
  <c r="AD68" s="1"/>
  <c r="AC35"/>
  <c r="AC68" s="1"/>
  <c r="O5" i="1" s="1"/>
  <c r="AD22" i="25"/>
  <c r="AD69" s="1"/>
  <c r="AC22"/>
  <c r="AC69" s="1"/>
  <c r="O6" i="1" s="1"/>
  <c r="AD18" i="25"/>
  <c r="AD70" s="1"/>
  <c r="AC18"/>
  <c r="AD15"/>
  <c r="AC15"/>
  <c r="AD9"/>
  <c r="AC9"/>
  <c r="O7" i="1"/>
  <c r="O9"/>
  <c r="N7"/>
  <c r="N9"/>
  <c r="AA66" i="25"/>
  <c r="AA71" s="1"/>
  <c r="N8" i="1" s="1"/>
  <c r="AB66" i="25"/>
  <c r="AB71" s="1"/>
  <c r="AB35"/>
  <c r="AB68" s="1"/>
  <c r="AA35"/>
  <c r="AA68" s="1"/>
  <c r="N5" i="1" s="1"/>
  <c r="AB22" i="25"/>
  <c r="AB69" s="1"/>
  <c r="AA22"/>
  <c r="AA69" s="1"/>
  <c r="N6" i="1" s="1"/>
  <c r="AB18" i="25"/>
  <c r="AB70" s="1"/>
  <c r="AA18"/>
  <c r="AB15"/>
  <c r="AA15"/>
  <c r="AB9"/>
  <c r="AB67" s="1"/>
  <c r="AA9"/>
  <c r="AA67" s="1"/>
  <c r="N4" i="1" s="1"/>
  <c r="Q4" l="1"/>
  <c r="Q3" s="1"/>
  <c r="Q15" s="1"/>
  <c r="Q17" s="1"/>
  <c r="N3"/>
  <c r="AE72" i="25"/>
  <c r="AF72"/>
  <c r="AC67"/>
  <c r="AC72" s="1"/>
  <c r="AD67"/>
  <c r="AD72" s="1"/>
  <c r="O4" i="1"/>
  <c r="O3" s="1"/>
  <c r="O15" s="1"/>
  <c r="O17" s="1"/>
  <c r="N15"/>
  <c r="N17" s="1"/>
  <c r="AB72" i="25"/>
  <c r="AA72"/>
  <c r="M7" i="1" l="1"/>
  <c r="M9"/>
  <c r="Z66" i="25"/>
  <c r="Z71" s="1"/>
  <c r="Y66"/>
  <c r="Y71" s="1"/>
  <c r="M8" i="1" s="1"/>
  <c r="Z35" i="25"/>
  <c r="Z68" s="1"/>
  <c r="Y35"/>
  <c r="Y68" s="1"/>
  <c r="M5" i="1" s="1"/>
  <c r="Z22" i="25"/>
  <c r="Z69" s="1"/>
  <c r="Y22"/>
  <c r="Y69" s="1"/>
  <c r="M6" i="1" s="1"/>
  <c r="Z18" i="25"/>
  <c r="Z70" s="1"/>
  <c r="Y18"/>
  <c r="Z15"/>
  <c r="Y15"/>
  <c r="Z9"/>
  <c r="Z67" s="1"/>
  <c r="Y9"/>
  <c r="Y67" l="1"/>
  <c r="M4" i="1" s="1"/>
  <c r="M3" s="1"/>
  <c r="M15" s="1"/>
  <c r="M17" s="1"/>
  <c r="Z72" i="25"/>
  <c r="Y72"/>
  <c r="L7" i="1" l="1"/>
  <c r="X66" i="25" l="1"/>
  <c r="X71" s="1"/>
  <c r="W66"/>
  <c r="W71" s="1"/>
  <c r="L8" i="1" s="1"/>
  <c r="X35" i="25"/>
  <c r="X68" s="1"/>
  <c r="W35"/>
  <c r="W68" s="1"/>
  <c r="L5" i="1" s="1"/>
  <c r="X22" i="25"/>
  <c r="X69" s="1"/>
  <c r="W22"/>
  <c r="W69" s="1"/>
  <c r="L6" i="1" s="1"/>
  <c r="X18" i="25"/>
  <c r="X70" s="1"/>
  <c r="W18"/>
  <c r="X15"/>
  <c r="W15"/>
  <c r="X9"/>
  <c r="X67" s="1"/>
  <c r="W9"/>
  <c r="W67" s="1"/>
  <c r="L4" i="1" s="1"/>
  <c r="L9"/>
  <c r="V66" i="25"/>
  <c r="V71" s="1"/>
  <c r="U66"/>
  <c r="U71" s="1"/>
  <c r="K8" i="1" s="1"/>
  <c r="V35" i="25"/>
  <c r="V68" s="1"/>
  <c r="U35"/>
  <c r="U68" s="1"/>
  <c r="K5" i="1" s="1"/>
  <c r="V22" i="25"/>
  <c r="V69" s="1"/>
  <c r="U22"/>
  <c r="U69" s="1"/>
  <c r="K6" i="1" s="1"/>
  <c r="V18" i="25"/>
  <c r="V70" s="1"/>
  <c r="U18"/>
  <c r="V15"/>
  <c r="U15"/>
  <c r="V9"/>
  <c r="U9"/>
  <c r="U67" s="1"/>
  <c r="K7" i="1"/>
  <c r="K9"/>
  <c r="L3" l="1"/>
  <c r="L15" s="1"/>
  <c r="L17" s="1"/>
  <c r="X72" i="25"/>
  <c r="W72"/>
  <c r="V67"/>
  <c r="V72" s="1"/>
  <c r="K4" i="1"/>
  <c r="K3" s="1"/>
  <c r="K15" s="1"/>
  <c r="K17" s="1"/>
  <c r="U72" i="25"/>
  <c r="T66"/>
  <c r="T71" s="1"/>
  <c r="S66"/>
  <c r="S71" s="1"/>
  <c r="J8" i="1" s="1"/>
  <c r="T35" i="25"/>
  <c r="T68" s="1"/>
  <c r="S35"/>
  <c r="S68" s="1"/>
  <c r="J5" i="1" s="1"/>
  <c r="T22" i="25"/>
  <c r="T69" s="1"/>
  <c r="S22"/>
  <c r="S69" s="1"/>
  <c r="J6" i="1" s="1"/>
  <c r="T18" i="25"/>
  <c r="T70" s="1"/>
  <c r="S18"/>
  <c r="T15"/>
  <c r="S15"/>
  <c r="T9"/>
  <c r="T67" s="1"/>
  <c r="S9"/>
  <c r="J7" i="1"/>
  <c r="J9"/>
  <c r="I7"/>
  <c r="I9"/>
  <c r="S67" i="25" l="1"/>
  <c r="S72" s="1"/>
  <c r="T72"/>
  <c r="J4" i="1"/>
  <c r="J3" s="1"/>
  <c r="J15" s="1"/>
  <c r="J17" s="1"/>
  <c r="R66" i="25"/>
  <c r="R71" s="1"/>
  <c r="Q66"/>
  <c r="Q71" s="1"/>
  <c r="I8" i="1" s="1"/>
  <c r="R35" i="25"/>
  <c r="R68" s="1"/>
  <c r="Q35"/>
  <c r="Q68" s="1"/>
  <c r="I5" i="1" s="1"/>
  <c r="R22" i="25"/>
  <c r="R69" s="1"/>
  <c r="Q22"/>
  <c r="Q69" s="1"/>
  <c r="I6" i="1" s="1"/>
  <c r="R18" i="25"/>
  <c r="R70" s="1"/>
  <c r="Q18"/>
  <c r="R15"/>
  <c r="Q15"/>
  <c r="R9"/>
  <c r="R67" s="1"/>
  <c r="Q9"/>
  <c r="Q67" s="1"/>
  <c r="I4" i="1" s="1"/>
  <c r="I3" s="1"/>
  <c r="I15" s="1"/>
  <c r="I17" s="1"/>
  <c r="Q72" i="25" l="1"/>
  <c r="R72"/>
  <c r="P66"/>
  <c r="P71" s="1"/>
  <c r="O66"/>
  <c r="O71" s="1"/>
  <c r="H8" i="1" s="1"/>
  <c r="P35" i="25"/>
  <c r="P68" s="1"/>
  <c r="O35"/>
  <c r="O68" s="1"/>
  <c r="H5" i="1" s="1"/>
  <c r="P22" i="25"/>
  <c r="P69" s="1"/>
  <c r="O22"/>
  <c r="O69" s="1"/>
  <c r="H6" i="1" s="1"/>
  <c r="P18" i="25"/>
  <c r="P70" s="1"/>
  <c r="O18"/>
  <c r="P15"/>
  <c r="O15"/>
  <c r="P9"/>
  <c r="P67" s="1"/>
  <c r="O9"/>
  <c r="H7" i="1"/>
  <c r="H9"/>
  <c r="O67" i="25" l="1"/>
  <c r="H4" i="1" s="1"/>
  <c r="H3" s="1"/>
  <c r="H15" s="1"/>
  <c r="H17" s="1"/>
  <c r="P72" i="25"/>
  <c r="O72" l="1"/>
  <c r="N66"/>
  <c r="N71" s="1"/>
  <c r="M66"/>
  <c r="M71" s="1"/>
  <c r="G8" i="1" s="1"/>
  <c r="N35" i="25"/>
  <c r="N68" s="1"/>
  <c r="M35"/>
  <c r="M68" s="1"/>
  <c r="G5" i="1" s="1"/>
  <c r="N22" i="25"/>
  <c r="N69" s="1"/>
  <c r="M22"/>
  <c r="M69" s="1"/>
  <c r="G6" i="1" s="1"/>
  <c r="N18" i="25"/>
  <c r="N70" s="1"/>
  <c r="M18"/>
  <c r="N15"/>
  <c r="M15"/>
  <c r="N9"/>
  <c r="M9"/>
  <c r="F7" i="1"/>
  <c r="F9"/>
  <c r="G7"/>
  <c r="G9"/>
  <c r="M67" i="25" l="1"/>
  <c r="N67"/>
  <c r="N72" s="1"/>
  <c r="L66"/>
  <c r="L71" s="1"/>
  <c r="K66"/>
  <c r="K71" s="1"/>
  <c r="F8" i="1" s="1"/>
  <c r="L35" i="25"/>
  <c r="L68" s="1"/>
  <c r="K35"/>
  <c r="K68" s="1"/>
  <c r="F5" i="1" s="1"/>
  <c r="L22" i="25"/>
  <c r="L69" s="1"/>
  <c r="K22"/>
  <c r="K69" s="1"/>
  <c r="F6" i="1" s="1"/>
  <c r="L18" i="25"/>
  <c r="L70" s="1"/>
  <c r="K18"/>
  <c r="L15"/>
  <c r="K15"/>
  <c r="L9"/>
  <c r="L67" s="1"/>
  <c r="K9"/>
  <c r="M72" l="1"/>
  <c r="G4" i="1"/>
  <c r="G3" s="1"/>
  <c r="G15" s="1"/>
  <c r="G17" s="1"/>
  <c r="K67" i="25"/>
  <c r="F4" i="1" s="1"/>
  <c r="L72" i="25"/>
  <c r="E7" i="1"/>
  <c r="E9"/>
  <c r="J66" i="25"/>
  <c r="J71" s="1"/>
  <c r="I66"/>
  <c r="I71" s="1"/>
  <c r="J35"/>
  <c r="J68" s="1"/>
  <c r="I35"/>
  <c r="I68" s="1"/>
  <c r="E5" i="1" s="1"/>
  <c r="J22" i="25"/>
  <c r="J69" s="1"/>
  <c r="I22"/>
  <c r="I69" s="1"/>
  <c r="E6" i="1" s="1"/>
  <c r="J18" i="25"/>
  <c r="J70" s="1"/>
  <c r="I18"/>
  <c r="J15"/>
  <c r="I15"/>
  <c r="J9"/>
  <c r="J67" s="1"/>
  <c r="I9"/>
  <c r="D9" i="1"/>
  <c r="K72" i="25" l="1"/>
  <c r="E8" i="1"/>
  <c r="J72" i="25"/>
  <c r="I67"/>
  <c r="I72" s="1"/>
  <c r="H66"/>
  <c r="H71" s="1"/>
  <c r="G66"/>
  <c r="G71" s="1"/>
  <c r="H35"/>
  <c r="H68" s="1"/>
  <c r="G35"/>
  <c r="G68" s="1"/>
  <c r="H22"/>
  <c r="H69" s="1"/>
  <c r="G22"/>
  <c r="G69" s="1"/>
  <c r="H18"/>
  <c r="H70" s="1"/>
  <c r="G18"/>
  <c r="H15"/>
  <c r="G15"/>
  <c r="H9"/>
  <c r="G9"/>
  <c r="E4" i="1" l="1"/>
  <c r="E3" s="1"/>
  <c r="E15" s="1"/>
  <c r="E17" s="1"/>
  <c r="H67" i="25"/>
  <c r="H72" s="1"/>
  <c r="G67"/>
  <c r="G72"/>
  <c r="D4" i="1" l="1"/>
  <c r="D5"/>
  <c r="D6"/>
  <c r="D7"/>
  <c r="D8"/>
  <c r="D3" l="1"/>
  <c r="D15" s="1"/>
  <c r="D17" s="1"/>
  <c r="C7"/>
  <c r="F9" i="25"/>
  <c r="F66"/>
  <c r="F71" s="1"/>
  <c r="E66"/>
  <c r="E71" s="1"/>
  <c r="C8" i="1" s="1"/>
  <c r="F35" i="25"/>
  <c r="F68" s="1"/>
  <c r="E35"/>
  <c r="E68" s="1"/>
  <c r="C5" i="1" s="1"/>
  <c r="F22" i="25"/>
  <c r="F69" s="1"/>
  <c r="E22"/>
  <c r="E69" s="1"/>
  <c r="C6" i="1" s="1"/>
  <c r="F18" i="25"/>
  <c r="F70" s="1"/>
  <c r="E18"/>
  <c r="F15"/>
  <c r="E15"/>
  <c r="E9"/>
  <c r="C9" i="1"/>
  <c r="D18" i="25"/>
  <c r="E67" l="1"/>
  <c r="F67"/>
  <c r="F72" s="1"/>
  <c r="B7" i="1"/>
  <c r="B9"/>
  <c r="E72" i="25" l="1"/>
  <c r="C4" i="1"/>
  <c r="C3" s="1"/>
  <c r="C15" s="1"/>
  <c r="C17" s="1"/>
  <c r="D70" i="25"/>
  <c r="D66"/>
  <c r="D71" s="1"/>
  <c r="C66"/>
  <c r="C71" s="1"/>
  <c r="B8" i="1" s="1"/>
  <c r="D35" i="25"/>
  <c r="D68" s="1"/>
  <c r="C35"/>
  <c r="C68" s="1"/>
  <c r="B5" i="1" s="1"/>
  <c r="D22" i="25"/>
  <c r="D69" s="1"/>
  <c r="C22"/>
  <c r="C69" s="1"/>
  <c r="B6" i="1" s="1"/>
  <c r="C18" i="25"/>
  <c r="D15"/>
  <c r="C15"/>
  <c r="D9"/>
  <c r="D67" s="1"/>
  <c r="C9"/>
  <c r="C67" s="1"/>
  <c r="B4" i="1" s="1"/>
  <c r="B3" l="1"/>
  <c r="B15" s="1"/>
  <c r="B17" s="1"/>
  <c r="C72" i="25"/>
  <c r="D72"/>
  <c r="C9" i="4" l="1"/>
  <c r="D9"/>
  <c r="E9"/>
  <c r="F9"/>
  <c r="G9"/>
  <c r="H9"/>
  <c r="I9"/>
  <c r="I54" s="1"/>
  <c r="I59" s="1"/>
  <c r="J9"/>
  <c r="J54" s="1"/>
  <c r="J59" s="1"/>
  <c r="K9"/>
  <c r="L9"/>
  <c r="M9"/>
  <c r="N9"/>
  <c r="O9"/>
  <c r="P9"/>
  <c r="Q9"/>
  <c r="Q54" s="1"/>
  <c r="Q59" s="1"/>
  <c r="R9"/>
  <c r="R54" s="1"/>
  <c r="R59" s="1"/>
  <c r="S9"/>
  <c r="T9"/>
  <c r="U9"/>
  <c r="V9"/>
  <c r="W9"/>
  <c r="X9"/>
  <c r="Y9"/>
  <c r="Y54" s="1"/>
  <c r="Y59" s="1"/>
  <c r="Z9"/>
  <c r="Z54" s="1"/>
  <c r="Z59" s="1"/>
  <c r="AA9"/>
  <c r="AB9"/>
  <c r="AC9"/>
  <c r="AD9"/>
  <c r="AE9"/>
  <c r="AF9"/>
  <c r="AG9"/>
  <c r="AG54" s="1"/>
  <c r="AG59" s="1"/>
  <c r="AH9"/>
  <c r="AH54" s="1"/>
  <c r="AH59" s="1"/>
  <c r="AI9"/>
  <c r="AJ9"/>
  <c r="AK9"/>
  <c r="AL9"/>
  <c r="AM9"/>
  <c r="AN9"/>
  <c r="AO9"/>
  <c r="AO54" s="1"/>
  <c r="AO59" s="1"/>
  <c r="AP9"/>
  <c r="AP54" s="1"/>
  <c r="AP59" s="1"/>
  <c r="AQ9"/>
  <c r="AR9"/>
  <c r="AS9"/>
  <c r="AT9"/>
  <c r="AU9"/>
  <c r="AV9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C22"/>
  <c r="D22"/>
  <c r="E22"/>
  <c r="E56" s="1"/>
  <c r="F22"/>
  <c r="F56" s="1"/>
  <c r="G22"/>
  <c r="H22"/>
  <c r="I22"/>
  <c r="J22"/>
  <c r="K22"/>
  <c r="L22"/>
  <c r="M22"/>
  <c r="M56" s="1"/>
  <c r="N22"/>
  <c r="N56" s="1"/>
  <c r="O22"/>
  <c r="P22"/>
  <c r="Q22"/>
  <c r="R22"/>
  <c r="S22"/>
  <c r="T22"/>
  <c r="U22"/>
  <c r="U56" s="1"/>
  <c r="V22"/>
  <c r="V56" s="1"/>
  <c r="W22"/>
  <c r="X22"/>
  <c r="Y22"/>
  <c r="Z22"/>
  <c r="AA22"/>
  <c r="AB22"/>
  <c r="AC22"/>
  <c r="AC56" s="1"/>
  <c r="AD22"/>
  <c r="AD56" s="1"/>
  <c r="AE22"/>
  <c r="AF22"/>
  <c r="AG22"/>
  <c r="AH22"/>
  <c r="AI22"/>
  <c r="AJ22"/>
  <c r="AK22"/>
  <c r="AK56" s="1"/>
  <c r="AL22"/>
  <c r="AL56" s="1"/>
  <c r="AM22"/>
  <c r="AN22"/>
  <c r="AO22"/>
  <c r="AP22"/>
  <c r="AQ22"/>
  <c r="AR22"/>
  <c r="AS22"/>
  <c r="AS56" s="1"/>
  <c r="AT22"/>
  <c r="AT56" s="1"/>
  <c r="AU22"/>
  <c r="AV22"/>
  <c r="C30"/>
  <c r="D30"/>
  <c r="E30"/>
  <c r="F30"/>
  <c r="G30"/>
  <c r="G55" s="1"/>
  <c r="G59" s="1"/>
  <c r="G61" s="1"/>
  <c r="H30"/>
  <c r="H55" s="1"/>
  <c r="H59" s="1"/>
  <c r="I30"/>
  <c r="J30"/>
  <c r="K30"/>
  <c r="L30"/>
  <c r="M30"/>
  <c r="N30"/>
  <c r="O30"/>
  <c r="O55" s="1"/>
  <c r="O59" s="1"/>
  <c r="P30"/>
  <c r="P55" s="1"/>
  <c r="P59" s="1"/>
  <c r="Q30"/>
  <c r="R30"/>
  <c r="S30"/>
  <c r="T30"/>
  <c r="U30"/>
  <c r="V30"/>
  <c r="W30"/>
  <c r="W55" s="1"/>
  <c r="W59" s="1"/>
  <c r="X30"/>
  <c r="X55" s="1"/>
  <c r="X59" s="1"/>
  <c r="Y30"/>
  <c r="Z30"/>
  <c r="AA30"/>
  <c r="AB30"/>
  <c r="AC30"/>
  <c r="AD30"/>
  <c r="AE30"/>
  <c r="AE55" s="1"/>
  <c r="AE59" s="1"/>
  <c r="AF30"/>
  <c r="AF55" s="1"/>
  <c r="AF59" s="1"/>
  <c r="AG30"/>
  <c r="AH30"/>
  <c r="AI30"/>
  <c r="AJ30"/>
  <c r="AK30"/>
  <c r="AL30"/>
  <c r="AM30"/>
  <c r="AM55" s="1"/>
  <c r="AM59" s="1"/>
  <c r="AN30"/>
  <c r="AN55" s="1"/>
  <c r="AN59" s="1"/>
  <c r="AO30"/>
  <c r="AP30"/>
  <c r="AQ30"/>
  <c r="AR30"/>
  <c r="AS30"/>
  <c r="AT30"/>
  <c r="AU30"/>
  <c r="AU55" s="1"/>
  <c r="AU59" s="1"/>
  <c r="AV30"/>
  <c r="AV55" s="1"/>
  <c r="AV59" s="1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C54"/>
  <c r="D54"/>
  <c r="E54"/>
  <c r="F54"/>
  <c r="G54"/>
  <c r="H54"/>
  <c r="K54"/>
  <c r="L54"/>
  <c r="M54"/>
  <c r="N54"/>
  <c r="O54"/>
  <c r="P54"/>
  <c r="S54"/>
  <c r="T54"/>
  <c r="U54"/>
  <c r="V54"/>
  <c r="W54"/>
  <c r="X54"/>
  <c r="AA54"/>
  <c r="AB54"/>
  <c r="AC54"/>
  <c r="AD54"/>
  <c r="AE54"/>
  <c r="AF54"/>
  <c r="AI54"/>
  <c r="AJ54"/>
  <c r="AK54"/>
  <c r="AL54"/>
  <c r="AM54"/>
  <c r="AN54"/>
  <c r="AQ54"/>
  <c r="AR54"/>
  <c r="AS54"/>
  <c r="AT54"/>
  <c r="AU54"/>
  <c r="AV54"/>
  <c r="C55"/>
  <c r="D55"/>
  <c r="E55"/>
  <c r="F55"/>
  <c r="I55"/>
  <c r="J55"/>
  <c r="K55"/>
  <c r="L55"/>
  <c r="M55"/>
  <c r="N55"/>
  <c r="Q55"/>
  <c r="R55"/>
  <c r="S55"/>
  <c r="T55"/>
  <c r="U55"/>
  <c r="V55"/>
  <c r="Y55"/>
  <c r="Z55"/>
  <c r="AA55"/>
  <c r="AB55"/>
  <c r="AC55"/>
  <c r="AC59" s="1"/>
  <c r="AD55"/>
  <c r="AD59" s="1"/>
  <c r="AG55"/>
  <c r="AH55"/>
  <c r="AI55"/>
  <c r="AJ55"/>
  <c r="AK55"/>
  <c r="AL55"/>
  <c r="AO55"/>
  <c r="AP55"/>
  <c r="AQ55"/>
  <c r="AR55"/>
  <c r="AS55"/>
  <c r="AT55"/>
  <c r="C56"/>
  <c r="D56"/>
  <c r="G56"/>
  <c r="H56"/>
  <c r="I56"/>
  <c r="J56"/>
  <c r="K56"/>
  <c r="L56"/>
  <c r="O56"/>
  <c r="P56"/>
  <c r="Q56"/>
  <c r="R56"/>
  <c r="S56"/>
  <c r="T56"/>
  <c r="W56"/>
  <c r="X56"/>
  <c r="Y56"/>
  <c r="Z56"/>
  <c r="AA56"/>
  <c r="AB56"/>
  <c r="AE56"/>
  <c r="AF56"/>
  <c r="AG56"/>
  <c r="AH56"/>
  <c r="AI56"/>
  <c r="AJ56"/>
  <c r="AM56"/>
  <c r="AN56"/>
  <c r="AO56"/>
  <c r="AP56"/>
  <c r="AQ56"/>
  <c r="AR56"/>
  <c r="AU56"/>
  <c r="AV56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C59"/>
  <c r="D59"/>
  <c r="K59"/>
  <c r="K61" s="1"/>
  <c r="L59"/>
  <c r="S59"/>
  <c r="S60" s="1"/>
  <c r="T59"/>
  <c r="AA59"/>
  <c r="AA61" s="1"/>
  <c r="AB59"/>
  <c r="AI59"/>
  <c r="AI60" s="1"/>
  <c r="AJ59"/>
  <c r="AQ59"/>
  <c r="AQ61" s="1"/>
  <c r="AR59"/>
  <c r="S61"/>
  <c r="AI61"/>
  <c r="C9" i="3"/>
  <c r="D9"/>
  <c r="D55" s="1"/>
  <c r="E9"/>
  <c r="E55" s="1"/>
  <c r="E60" s="1"/>
  <c r="F9"/>
  <c r="G9"/>
  <c r="H9"/>
  <c r="H55" s="1"/>
  <c r="H60" s="1"/>
  <c r="I9"/>
  <c r="J9"/>
  <c r="K9"/>
  <c r="L9"/>
  <c r="L55" s="1"/>
  <c r="M9"/>
  <c r="M55" s="1"/>
  <c r="M60" s="1"/>
  <c r="M63" s="1"/>
  <c r="N9"/>
  <c r="O9"/>
  <c r="P9"/>
  <c r="P55" s="1"/>
  <c r="P60" s="1"/>
  <c r="Q9"/>
  <c r="R9"/>
  <c r="S9"/>
  <c r="T9"/>
  <c r="T55" s="1"/>
  <c r="U9"/>
  <c r="U55" s="1"/>
  <c r="U60" s="1"/>
  <c r="V9"/>
  <c r="W9"/>
  <c r="X9"/>
  <c r="X55" s="1"/>
  <c r="X60" s="1"/>
  <c r="Y9"/>
  <c r="Z9"/>
  <c r="AA9"/>
  <c r="AB9"/>
  <c r="AB55" s="1"/>
  <c r="AC9"/>
  <c r="AC55" s="1"/>
  <c r="AC60" s="1"/>
  <c r="AD9"/>
  <c r="AE9"/>
  <c r="AF9"/>
  <c r="AF55" s="1"/>
  <c r="AF60" s="1"/>
  <c r="AG9"/>
  <c r="AH9"/>
  <c r="AI9"/>
  <c r="AJ9"/>
  <c r="AJ55" s="1"/>
  <c r="AK9"/>
  <c r="AK55" s="1"/>
  <c r="AK60" s="1"/>
  <c r="AK63" s="1"/>
  <c r="AL9"/>
  <c r="AM9"/>
  <c r="AN9"/>
  <c r="AN55" s="1"/>
  <c r="AN60" s="1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C23"/>
  <c r="D23"/>
  <c r="D57" s="1"/>
  <c r="E23"/>
  <c r="F23"/>
  <c r="G23"/>
  <c r="H23"/>
  <c r="H57" s="1"/>
  <c r="I23"/>
  <c r="I57" s="1"/>
  <c r="J23"/>
  <c r="K23"/>
  <c r="L23"/>
  <c r="L57" s="1"/>
  <c r="M23"/>
  <c r="N23"/>
  <c r="O23"/>
  <c r="P23"/>
  <c r="P57" s="1"/>
  <c r="Q23"/>
  <c r="Q57" s="1"/>
  <c r="R23"/>
  <c r="S23"/>
  <c r="T23"/>
  <c r="T57" s="1"/>
  <c r="U23"/>
  <c r="V23"/>
  <c r="W23"/>
  <c r="X23"/>
  <c r="X57" s="1"/>
  <c r="Y23"/>
  <c r="Y57" s="1"/>
  <c r="Z23"/>
  <c r="AA23"/>
  <c r="AB23"/>
  <c r="AB57" s="1"/>
  <c r="AC23"/>
  <c r="AD23"/>
  <c r="AE23"/>
  <c r="AF23"/>
  <c r="AF57" s="1"/>
  <c r="AG23"/>
  <c r="AG57" s="1"/>
  <c r="AH23"/>
  <c r="AI23"/>
  <c r="AJ23"/>
  <c r="AJ57" s="1"/>
  <c r="AK23"/>
  <c r="AL23"/>
  <c r="AM23"/>
  <c r="AN23"/>
  <c r="AN57" s="1"/>
  <c r="C31"/>
  <c r="C56" s="1"/>
  <c r="C60" s="1"/>
  <c r="D31"/>
  <c r="E31"/>
  <c r="F31"/>
  <c r="F56" s="1"/>
  <c r="F60" s="1"/>
  <c r="G31"/>
  <c r="H31"/>
  <c r="I31"/>
  <c r="J31"/>
  <c r="J56" s="1"/>
  <c r="J60" s="1"/>
  <c r="K31"/>
  <c r="K56" s="1"/>
  <c r="K60" s="1"/>
  <c r="L31"/>
  <c r="M31"/>
  <c r="N31"/>
  <c r="N56" s="1"/>
  <c r="N60" s="1"/>
  <c r="O31"/>
  <c r="P31"/>
  <c r="Q31"/>
  <c r="R31"/>
  <c r="R56" s="1"/>
  <c r="R60" s="1"/>
  <c r="S31"/>
  <c r="S56" s="1"/>
  <c r="S60" s="1"/>
  <c r="S63" s="1"/>
  <c r="T31"/>
  <c r="U31"/>
  <c r="V31"/>
  <c r="V56" s="1"/>
  <c r="V60" s="1"/>
  <c r="W31"/>
  <c r="X31"/>
  <c r="Y31"/>
  <c r="Z31"/>
  <c r="Z56" s="1"/>
  <c r="Z60" s="1"/>
  <c r="AA31"/>
  <c r="AA56" s="1"/>
  <c r="AA60" s="1"/>
  <c r="AB31"/>
  <c r="AC31"/>
  <c r="AD31"/>
  <c r="AD56" s="1"/>
  <c r="AD60" s="1"/>
  <c r="AE31"/>
  <c r="AF31"/>
  <c r="AG31"/>
  <c r="AH31"/>
  <c r="AH56" s="1"/>
  <c r="AH60" s="1"/>
  <c r="AI31"/>
  <c r="AI56" s="1"/>
  <c r="AI60" s="1"/>
  <c r="AJ31"/>
  <c r="AK31"/>
  <c r="AL31"/>
  <c r="AL56" s="1"/>
  <c r="AL60" s="1"/>
  <c r="AM31"/>
  <c r="AN31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C55"/>
  <c r="F55"/>
  <c r="G55"/>
  <c r="I55"/>
  <c r="J55"/>
  <c r="K55"/>
  <c r="N55"/>
  <c r="O55"/>
  <c r="Q55"/>
  <c r="R55"/>
  <c r="S55"/>
  <c r="V55"/>
  <c r="W55"/>
  <c r="Y55"/>
  <c r="Z55"/>
  <c r="AA55"/>
  <c r="AD55"/>
  <c r="AE55"/>
  <c r="AG55"/>
  <c r="AH55"/>
  <c r="AI55"/>
  <c r="AL55"/>
  <c r="AM55"/>
  <c r="D56"/>
  <c r="E56"/>
  <c r="G56"/>
  <c r="H56"/>
  <c r="I56"/>
  <c r="L56"/>
  <c r="M56"/>
  <c r="O56"/>
  <c r="P56"/>
  <c r="Q56"/>
  <c r="T56"/>
  <c r="U56"/>
  <c r="W56"/>
  <c r="X56"/>
  <c r="Y56"/>
  <c r="Y60" s="1"/>
  <c r="AB56"/>
  <c r="AC56"/>
  <c r="AE56"/>
  <c r="AF56"/>
  <c r="AG56"/>
  <c r="AJ56"/>
  <c r="AK56"/>
  <c r="AM56"/>
  <c r="AN56"/>
  <c r="C57"/>
  <c r="E57"/>
  <c r="F57"/>
  <c r="G57"/>
  <c r="J57"/>
  <c r="K57"/>
  <c r="M57"/>
  <c r="N57"/>
  <c r="O57"/>
  <c r="R57"/>
  <c r="S57"/>
  <c r="U57"/>
  <c r="V57"/>
  <c r="W57"/>
  <c r="Z57"/>
  <c r="AA57"/>
  <c r="AC57"/>
  <c r="AD57"/>
  <c r="AE57"/>
  <c r="AH57"/>
  <c r="AI57"/>
  <c r="AK57"/>
  <c r="AL57"/>
  <c r="AM57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G60"/>
  <c r="G63" s="1"/>
  <c r="O60"/>
  <c r="O63" s="1"/>
  <c r="W60"/>
  <c r="W62" s="1"/>
  <c r="AE60"/>
  <c r="AE62" s="1"/>
  <c r="AM60"/>
  <c r="AM63" s="1"/>
  <c r="C9" i="2"/>
  <c r="D9"/>
  <c r="E9"/>
  <c r="F9"/>
  <c r="G9"/>
  <c r="H9"/>
  <c r="H53" s="1"/>
  <c r="I9"/>
  <c r="I53" s="1"/>
  <c r="I58" s="1"/>
  <c r="I59" s="1"/>
  <c r="J9"/>
  <c r="K9"/>
  <c r="L9"/>
  <c r="M9"/>
  <c r="N9"/>
  <c r="O9"/>
  <c r="P9"/>
  <c r="P53" s="1"/>
  <c r="Q9"/>
  <c r="Q53" s="1"/>
  <c r="Q58" s="1"/>
  <c r="R9"/>
  <c r="S9"/>
  <c r="T9"/>
  <c r="U9"/>
  <c r="V9"/>
  <c r="W9"/>
  <c r="X9"/>
  <c r="X53" s="1"/>
  <c r="Y9"/>
  <c r="Y53" s="1"/>
  <c r="Y58" s="1"/>
  <c r="Z9"/>
  <c r="AA9"/>
  <c r="AB9"/>
  <c r="AC9"/>
  <c r="AD9"/>
  <c r="AE9"/>
  <c r="AF9"/>
  <c r="AF53" s="1"/>
  <c r="AG9"/>
  <c r="AG53" s="1"/>
  <c r="AG58" s="1"/>
  <c r="AH9"/>
  <c r="AI9"/>
  <c r="AJ9"/>
  <c r="AK9"/>
  <c r="AL9"/>
  <c r="AM9"/>
  <c r="AN9"/>
  <c r="AN53" s="1"/>
  <c r="AO9"/>
  <c r="AO53" s="1"/>
  <c r="AO58" s="1"/>
  <c r="AP9"/>
  <c r="AQ9"/>
  <c r="AR9"/>
  <c r="AS9"/>
  <c r="AT9"/>
  <c r="C19"/>
  <c r="D19"/>
  <c r="E19"/>
  <c r="E53" s="1"/>
  <c r="E58" s="1"/>
  <c r="E59" s="1"/>
  <c r="F19"/>
  <c r="G19"/>
  <c r="H19"/>
  <c r="I19"/>
  <c r="J19"/>
  <c r="K19"/>
  <c r="L19"/>
  <c r="M19"/>
  <c r="M53" s="1"/>
  <c r="M58" s="1"/>
  <c r="N19"/>
  <c r="O19"/>
  <c r="P19"/>
  <c r="Q19"/>
  <c r="R19"/>
  <c r="S19"/>
  <c r="T19"/>
  <c r="U19"/>
  <c r="U53" s="1"/>
  <c r="U58" s="1"/>
  <c r="V19"/>
  <c r="W19"/>
  <c r="X19"/>
  <c r="Y19"/>
  <c r="Z19"/>
  <c r="AA19"/>
  <c r="AB19"/>
  <c r="AC19"/>
  <c r="AC53" s="1"/>
  <c r="AC58" s="1"/>
  <c r="AD19"/>
  <c r="AE19"/>
  <c r="AF19"/>
  <c r="AG19"/>
  <c r="AH19"/>
  <c r="AI19"/>
  <c r="AJ19"/>
  <c r="AK19"/>
  <c r="AK53" s="1"/>
  <c r="AK58" s="1"/>
  <c r="AL19"/>
  <c r="AM19"/>
  <c r="AN19"/>
  <c r="AO19"/>
  <c r="AP19"/>
  <c r="AQ19"/>
  <c r="AR19"/>
  <c r="AS19"/>
  <c r="AS53" s="1"/>
  <c r="AS58" s="1"/>
  <c r="AS62" s="1"/>
  <c r="AT19"/>
  <c r="C25"/>
  <c r="D25"/>
  <c r="E25"/>
  <c r="F25"/>
  <c r="G25"/>
  <c r="G55" s="1"/>
  <c r="H25"/>
  <c r="H55" s="1"/>
  <c r="I25"/>
  <c r="J25"/>
  <c r="K25"/>
  <c r="L25"/>
  <c r="M25"/>
  <c r="N25"/>
  <c r="O25"/>
  <c r="O55" s="1"/>
  <c r="P25"/>
  <c r="P55" s="1"/>
  <c r="Q25"/>
  <c r="R25"/>
  <c r="S25"/>
  <c r="T25"/>
  <c r="U25"/>
  <c r="V25"/>
  <c r="W25"/>
  <c r="W55" s="1"/>
  <c r="X25"/>
  <c r="X55" s="1"/>
  <c r="Y25"/>
  <c r="Z25"/>
  <c r="AA25"/>
  <c r="AB25"/>
  <c r="AC25"/>
  <c r="AD25"/>
  <c r="AE25"/>
  <c r="AE55" s="1"/>
  <c r="AF25"/>
  <c r="AF55" s="1"/>
  <c r="AG25"/>
  <c r="AH25"/>
  <c r="AI25"/>
  <c r="AJ25"/>
  <c r="AK25"/>
  <c r="AL25"/>
  <c r="AM25"/>
  <c r="AM55" s="1"/>
  <c r="AN25"/>
  <c r="AN55" s="1"/>
  <c r="AO25"/>
  <c r="AP25"/>
  <c r="AQ25"/>
  <c r="AR25"/>
  <c r="AS25"/>
  <c r="AT25"/>
  <c r="C31"/>
  <c r="C54" s="1"/>
  <c r="C58" s="1"/>
  <c r="C62" s="1"/>
  <c r="D31"/>
  <c r="D54" s="1"/>
  <c r="D58" s="1"/>
  <c r="E31"/>
  <c r="F31"/>
  <c r="G31"/>
  <c r="H31"/>
  <c r="I31"/>
  <c r="J31"/>
  <c r="K31"/>
  <c r="K54" s="1"/>
  <c r="K58" s="1"/>
  <c r="L31"/>
  <c r="L54" s="1"/>
  <c r="L58" s="1"/>
  <c r="M31"/>
  <c r="N31"/>
  <c r="O31"/>
  <c r="P31"/>
  <c r="Q31"/>
  <c r="R31"/>
  <c r="S31"/>
  <c r="S54" s="1"/>
  <c r="S58" s="1"/>
  <c r="T31"/>
  <c r="T54" s="1"/>
  <c r="T58" s="1"/>
  <c r="U31"/>
  <c r="V31"/>
  <c r="W31"/>
  <c r="X31"/>
  <c r="Y31"/>
  <c r="Z31"/>
  <c r="AA31"/>
  <c r="AA54" s="1"/>
  <c r="AA58" s="1"/>
  <c r="AB31"/>
  <c r="AB54" s="1"/>
  <c r="AB58" s="1"/>
  <c r="AC31"/>
  <c r="AD31"/>
  <c r="AE31"/>
  <c r="AF31"/>
  <c r="AG31"/>
  <c r="AH31"/>
  <c r="AI31"/>
  <c r="AI54" s="1"/>
  <c r="AI58" s="1"/>
  <c r="AJ31"/>
  <c r="AJ54" s="1"/>
  <c r="AJ58" s="1"/>
  <c r="AK31"/>
  <c r="AL31"/>
  <c r="AM31"/>
  <c r="AN31"/>
  <c r="AO31"/>
  <c r="AP31"/>
  <c r="AQ31"/>
  <c r="AQ54" s="1"/>
  <c r="AQ58" s="1"/>
  <c r="AR31"/>
  <c r="AR54" s="1"/>
  <c r="AR58" s="1"/>
  <c r="AS31"/>
  <c r="AT3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C53"/>
  <c r="D53"/>
  <c r="F53"/>
  <c r="G53"/>
  <c r="J53"/>
  <c r="K53"/>
  <c r="L53"/>
  <c r="N53"/>
  <c r="O53"/>
  <c r="R53"/>
  <c r="S53"/>
  <c r="T53"/>
  <c r="V53"/>
  <c r="W53"/>
  <c r="Z53"/>
  <c r="AA53"/>
  <c r="AB53"/>
  <c r="AD53"/>
  <c r="AE53"/>
  <c r="AH53"/>
  <c r="AI53"/>
  <c r="AJ53"/>
  <c r="AL53"/>
  <c r="AM53"/>
  <c r="AP53"/>
  <c r="AQ53"/>
  <c r="AR53"/>
  <c r="AT53"/>
  <c r="E54"/>
  <c r="F54"/>
  <c r="G54"/>
  <c r="H54"/>
  <c r="I54"/>
  <c r="J54"/>
  <c r="M54"/>
  <c r="N54"/>
  <c r="O54"/>
  <c r="P54"/>
  <c r="Q54"/>
  <c r="R54"/>
  <c r="U54"/>
  <c r="V54"/>
  <c r="W54"/>
  <c r="X54"/>
  <c r="Y54"/>
  <c r="Z54"/>
  <c r="AC54"/>
  <c r="AD54"/>
  <c r="AE54"/>
  <c r="AE58" s="1"/>
  <c r="AF54"/>
  <c r="AG54"/>
  <c r="AH54"/>
  <c r="AK54"/>
  <c r="AL54"/>
  <c r="AM54"/>
  <c r="AN54"/>
  <c r="AO54"/>
  <c r="AP54"/>
  <c r="AS54"/>
  <c r="AT54"/>
  <c r="C55"/>
  <c r="D55"/>
  <c r="E55"/>
  <c r="F55"/>
  <c r="I55"/>
  <c r="J55"/>
  <c r="K55"/>
  <c r="L55"/>
  <c r="M55"/>
  <c r="N55"/>
  <c r="Q55"/>
  <c r="R55"/>
  <c r="S55"/>
  <c r="T55"/>
  <c r="U55"/>
  <c r="V55"/>
  <c r="Y55"/>
  <c r="Z55"/>
  <c r="AA55"/>
  <c r="AB55"/>
  <c r="AC55"/>
  <c r="AD55"/>
  <c r="AG55"/>
  <c r="AH55"/>
  <c r="AI55"/>
  <c r="AJ55"/>
  <c r="AK55"/>
  <c r="AL55"/>
  <c r="AO55"/>
  <c r="AP55"/>
  <c r="AQ55"/>
  <c r="AR55"/>
  <c r="AS55"/>
  <c r="AT55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F58"/>
  <c r="J58"/>
  <c r="N58"/>
  <c r="R58"/>
  <c r="V58"/>
  <c r="Z58"/>
  <c r="AD58"/>
  <c r="AH58"/>
  <c r="AL58"/>
  <c r="AP58"/>
  <c r="AT58"/>
  <c r="AN58" l="1"/>
  <c r="H58"/>
  <c r="AQ59"/>
  <c r="AQ62"/>
  <c r="K62"/>
  <c r="K59"/>
  <c r="AM61" i="4"/>
  <c r="AM60"/>
  <c r="Y61"/>
  <c r="Y60"/>
  <c r="G58" i="2"/>
  <c r="G59" s="1"/>
  <c r="K63" i="3"/>
  <c r="K61"/>
  <c r="C61"/>
  <c r="C63"/>
  <c r="AC62"/>
  <c r="AC63"/>
  <c r="U62"/>
  <c r="U63"/>
  <c r="E63"/>
  <c r="E61"/>
  <c r="AK59" i="4"/>
  <c r="E59"/>
  <c r="E61" s="1"/>
  <c r="AF58" i="2"/>
  <c r="AE61" i="4"/>
  <c r="AE60"/>
  <c r="I61"/>
  <c r="I60"/>
  <c r="AL59"/>
  <c r="I60" i="3"/>
  <c r="T60"/>
  <c r="L60"/>
  <c r="D60"/>
  <c r="AT59" i="4"/>
  <c r="N59"/>
  <c r="X58" i="2"/>
  <c r="AE62"/>
  <c r="AE59"/>
  <c r="AA62"/>
  <c r="AA59"/>
  <c r="AC61" i="4"/>
  <c r="AC60"/>
  <c r="O60"/>
  <c r="O61"/>
  <c r="AG60"/>
  <c r="AG61"/>
  <c r="F59"/>
  <c r="AA62" i="3"/>
  <c r="AA63"/>
  <c r="AB60"/>
  <c r="O58" i="2"/>
  <c r="AG60" i="3"/>
  <c r="AS59" i="4"/>
  <c r="M59"/>
  <c r="P58" i="2"/>
  <c r="AI59"/>
  <c r="AI62"/>
  <c r="AU60" i="4"/>
  <c r="AU61"/>
  <c r="W61"/>
  <c r="W60"/>
  <c r="Q60"/>
  <c r="Q61"/>
  <c r="AM58" i="2"/>
  <c r="AI63" i="3"/>
  <c r="AI62"/>
  <c r="AJ60"/>
  <c r="V59" i="4"/>
  <c r="S59" i="2"/>
  <c r="S62"/>
  <c r="AO61" i="4"/>
  <c r="AO60"/>
  <c r="Y62" i="3"/>
  <c r="Y63"/>
  <c r="W58" i="2"/>
  <c r="AK59"/>
  <c r="AK62"/>
  <c r="AC62"/>
  <c r="AC59"/>
  <c r="U59"/>
  <c r="U62"/>
  <c r="M62"/>
  <c r="M59"/>
  <c r="AO59"/>
  <c r="AO62"/>
  <c r="AG59"/>
  <c r="AG62"/>
  <c r="Y62"/>
  <c r="Y59"/>
  <c r="Q59"/>
  <c r="Q62"/>
  <c r="Q60" i="3"/>
  <c r="U59" i="4"/>
  <c r="U61" s="1"/>
  <c r="K60"/>
  <c r="AM61" i="3"/>
  <c r="AE63"/>
  <c r="AQ60" i="4"/>
  <c r="AA60"/>
  <c r="G61" i="3"/>
  <c r="AU19" i="2"/>
  <c r="W63" i="3"/>
  <c r="AM59" i="2" l="1"/>
  <c r="AM62"/>
  <c r="AS61" i="4"/>
  <c r="AS60"/>
  <c r="AG62" i="3"/>
  <c r="AG63"/>
  <c r="M61" i="4"/>
  <c r="M60"/>
  <c r="AK60"/>
  <c r="AK61"/>
  <c r="W59" i="2"/>
  <c r="W62"/>
  <c r="O62"/>
  <c r="O59"/>
  <c r="I63" i="3"/>
  <c r="I61"/>
  <c r="F3" i="1"/>
  <c r="F15" s="1"/>
  <c r="F17" s="1"/>
  <c r="FL9"/>
  <c r="FL15" s="1"/>
  <c r="FL17" s="1"/>
  <c r="GS9" l="1"/>
  <c r="GS15" s="1"/>
  <c r="GS17" s="1"/>
</calcChain>
</file>

<file path=xl/comments1.xml><?xml version="1.0" encoding="utf-8"?>
<comments xmlns="http://schemas.openxmlformats.org/spreadsheetml/2006/main">
  <authors>
    <author>Luchna</author>
  </authors>
  <commentList>
    <comment ref="C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A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C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E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G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M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O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Q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<sst xmlns="http://schemas.openxmlformats.org/spreadsheetml/2006/main" count="1433" uniqueCount="139">
  <si>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</si>
  <si>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</si>
  <si>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</si>
  <si>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об’єкти нерухомого майна, грн</t>
  </si>
  <si>
    <t>Вартість інших інвестицій, грн</t>
  </si>
  <si>
    <t>Вартість дебіторської заборгованості, грн</t>
  </si>
  <si>
    <t>Сума зобов’язань пенсійного фонду, усього, грн</t>
  </si>
  <si>
    <t>Сума заборгованості з витрат на оплату послуг з адміністрування недержавного пенсійного фонду, грн</t>
  </si>
  <si>
    <t>Сума заборгованості з винагороди за надання послуг з управління активами недержавного пенсійного фонду, грн</t>
  </si>
  <si>
    <t>Сума заборгованості з оплати послуг зберігача, грн</t>
  </si>
  <si>
    <t>Сума заборгованості з оплати послуг з проведення планових аудиторських перевірок недержавного пенсійного фонду, грн</t>
  </si>
  <si>
    <t>Сума інших зобов’язань пенсійного фонду, грн</t>
  </si>
  <si>
    <t>Чиста вартість активів пенсійного фонду, грн</t>
  </si>
  <si>
    <t>Кількість одиниць  пенсійних активів, од.</t>
  </si>
  <si>
    <t>Чиста  вартість одиниці  пенсійних активів, грн</t>
  </si>
  <si>
    <t>МІНФІН</t>
  </si>
  <si>
    <t>UA4000225668</t>
  </si>
  <si>
    <t>UA4000201255</t>
  </si>
  <si>
    <t>UA4000226195</t>
  </si>
  <si>
    <t>UA4000173371</t>
  </si>
  <si>
    <t>UA4000213227</t>
  </si>
  <si>
    <t>UA4000206460</t>
  </si>
  <si>
    <t>овгз всего</t>
  </si>
  <si>
    <t>UA4000198535</t>
  </si>
  <si>
    <t>АТ "ЖИТОМИРОБЛЕНЕРГО"</t>
  </si>
  <si>
    <t>UA110001AA04</t>
  </si>
  <si>
    <t>ПрАТ "КІРОВОГРАДОБЛЕНЕРГО"</t>
  </si>
  <si>
    <t>UA4000198543</t>
  </si>
  <si>
    <t>UA4000139521</t>
  </si>
  <si>
    <t>ТОВ “ЛД-ПЕРСПЕКТИВА”</t>
  </si>
  <si>
    <t>UA5000005513</t>
  </si>
  <si>
    <t>ТОВ “МАНІВЕО ШВИДКА ФІНАНСОВА ДОПОМОГА”</t>
  </si>
  <si>
    <t>UA5000002841</t>
  </si>
  <si>
    <t>ТОВ “НОВА ПОШТА”</t>
  </si>
  <si>
    <t>UA4000200349</t>
  </si>
  <si>
    <t>ТОВ “НФК”</t>
  </si>
  <si>
    <t>UA5000004987</t>
  </si>
  <si>
    <t>ТОВ "Альфа-лізинг Україна"</t>
  </si>
  <si>
    <t>UA5000006388</t>
  </si>
  <si>
    <t>АТ "БАНК АВАНГАРД"</t>
  </si>
  <si>
    <t>облигации всего</t>
  </si>
  <si>
    <t>UA4000067433</t>
  </si>
  <si>
    <t>ПАТ "Готель "Ореанда"</t>
  </si>
  <si>
    <t>акции всего</t>
  </si>
  <si>
    <t>всего</t>
  </si>
  <si>
    <t>поточний</t>
  </si>
  <si>
    <t>УКРСИБ</t>
  </si>
  <si>
    <t>депозитний</t>
  </si>
  <si>
    <t>Доля в ТОВ "КАМАЗ-ТРАНС-СЕРВІС" (33027, м.Рiвне, вул. Київська, 64-А)</t>
  </si>
  <si>
    <t>ДПІ у Дніпровському р-ні м.Києва</t>
  </si>
  <si>
    <t>Податковий кредит</t>
  </si>
  <si>
    <t>ТОВ "Пром. Комерц. Фірма "МОТОР"</t>
  </si>
  <si>
    <t>Дог. №37/99 від 01.12.19р.</t>
  </si>
  <si>
    <t>Дог. №41/109 від 01.02.21р.</t>
  </si>
  <si>
    <t>Фiз. Особа Дик Руслан Миколайович</t>
  </si>
  <si>
    <t>Франчук Марiя Олегiвна</t>
  </si>
  <si>
    <t>ТОВ "Запоріжжяелектропостачання"</t>
  </si>
  <si>
    <t xml:space="preserve">Проспект емісії обл-й </t>
  </si>
  <si>
    <t>АТ «Райффайзен банк»</t>
  </si>
  <si>
    <t>ЦП</t>
  </si>
  <si>
    <t>ДЕНЬГИ</t>
  </si>
  <si>
    <t>НЕДВИЖИМОСТЬ</t>
  </si>
  <si>
    <t>ІНШЕ</t>
  </si>
  <si>
    <t>ДЕБИТОРКА</t>
  </si>
  <si>
    <t>ВСЕГО</t>
  </si>
  <si>
    <t>UA4000225791</t>
  </si>
  <si>
    <t>UA4000204150</t>
  </si>
  <si>
    <t>ТОВ "Трідекс"</t>
  </si>
  <si>
    <t>ПрАТ "КІРОВОГРАДОБЛЕНЕРГО", А</t>
  </si>
  <si>
    <t>ТОВ "НФК"</t>
  </si>
  <si>
    <t xml:space="preserve">ТОВ "ПАРИТЕТ-П"
</t>
  </si>
  <si>
    <t xml:space="preserve">ТОВ «МАНІВЕО ШВИДКА ФІНАНСОВА ДОПОМОГА»
</t>
  </si>
  <si>
    <t>ПАТ "ЗапоріжжяОЕ"</t>
  </si>
  <si>
    <t>ТОВ «ТРИКОТАЖНА ФАБРИКА «РОКСАНА»</t>
  </si>
  <si>
    <t>Дог. б/н від 01.07.17</t>
  </si>
  <si>
    <t>Дог. депозитного вкладу №020/В6/13-785 від 10.11.22</t>
  </si>
  <si>
    <t xml:space="preserve">Дог. куп-пр частки в СК ТОВ "КТС" від 29.08.22 </t>
  </si>
  <si>
    <t>Дог. постачання е/енергії №1642 (доп.угода)</t>
  </si>
  <si>
    <t>Рах 1642/02-РП-Пр від 03.01.22 Рах 1642/04-РП-Пр від 09.03.22 Рах 1642/05-РП-Пр від 05.04.22</t>
  </si>
  <si>
    <t>Дог. №44/101 від 01.08.22р.</t>
  </si>
  <si>
    <t>Дог. №40/101 від 31.12.20</t>
  </si>
  <si>
    <t>Дог. депозитного вкладу №26513587363303 від 09.01.23</t>
  </si>
  <si>
    <t>АТ "УКРСИББАНК"</t>
  </si>
  <si>
    <t>ОТП</t>
  </si>
  <si>
    <t>11341,94</t>
  </si>
  <si>
    <t>1399,95</t>
  </si>
  <si>
    <t>10086,3</t>
  </si>
  <si>
    <t>77808,22</t>
  </si>
  <si>
    <t>251589,13</t>
  </si>
  <si>
    <t>16876,71</t>
  </si>
  <si>
    <t>86106,96</t>
  </si>
  <si>
    <t>6780,8</t>
  </si>
  <si>
    <t>2753,83</t>
  </si>
  <si>
    <t>455,5</t>
  </si>
  <si>
    <t>аудит вид</t>
  </si>
  <si>
    <t xml:space="preserve">АТ «БАНК КРЕДИТ                                        
ДНІПРО»
</t>
  </si>
  <si>
    <t>UA4000207880</t>
  </si>
  <si>
    <t>+</t>
  </si>
  <si>
    <t>UA5000005729</t>
  </si>
  <si>
    <t>ТОВ "РУШ"</t>
  </si>
  <si>
    <t>АТ «БАНК АВАНГАРД»</t>
  </si>
  <si>
    <t>Житомиробленерго С</t>
  </si>
  <si>
    <t>UA4000227656</t>
  </si>
  <si>
    <t>ПАТ АК «УКРГАЗБАНК»</t>
  </si>
  <si>
    <t>АТ «ПЕРШИЙ ІНВЕСТИЦІЙНИЙ БАНК»</t>
  </si>
  <si>
    <t>Рішення про емісію облігацій</t>
  </si>
  <si>
    <t>м.Запоріжжя, вул.Рельєфна,8, прим.101</t>
  </si>
  <si>
    <t>м.Запоріжжя, вул.Рельєфна,8, прим.99</t>
  </si>
  <si>
    <t>м.Запоріжжя, вул.Рельєфна,8, прим.109</t>
  </si>
  <si>
    <t>ГРОШІ</t>
  </si>
  <si>
    <t>НЕРУХОМІСТЬ</t>
  </si>
  <si>
    <t>всього</t>
  </si>
  <si>
    <t>акції всього</t>
  </si>
  <si>
    <t>овдп всього</t>
  </si>
  <si>
    <t>облігації всього</t>
  </si>
  <si>
    <t>UA4000229264</t>
  </si>
  <si>
    <t>UA5000010992</t>
  </si>
  <si>
    <t>ТОВ "НоваПей Кредит"</t>
  </si>
  <si>
    <t>UA4000230262</t>
  </si>
  <si>
    <t>UA4000231195</t>
  </si>
  <si>
    <t>аріфру</t>
  </si>
  <si>
    <t>АТ «ЖИТОМИРОБЛЕНЕРГО»</t>
  </si>
  <si>
    <t>акції</t>
  </si>
  <si>
    <t>UA4000228910</t>
  </si>
  <si>
    <t>UA4000207518</t>
  </si>
  <si>
    <t>ПАТ "МТБ БАНК"</t>
  </si>
  <si>
    <t xml:space="preserve">ПАТ «МТБ БАНК»
</t>
  </si>
  <si>
    <t>ТОВ «ІННОВАЦІЙНА КОМПАНІЯ «РОКСАНА»</t>
  </si>
  <si>
    <t>ТОВ "АУДІТ-ВІД та Ко"</t>
  </si>
  <si>
    <t>UA4000234215</t>
  </si>
  <si>
    <t>UA4000230270</t>
  </si>
  <si>
    <t>Проценти по залишку на поточному рахунку</t>
  </si>
  <si>
    <t>нова пей</t>
  </si>
  <si>
    <t>вересень</t>
  </si>
  <si>
    <t>UA5000013079</t>
  </si>
  <si>
    <t>UA5000014325</t>
  </si>
  <si>
    <t>Погашено</t>
  </si>
  <si>
    <t>UA4000235865</t>
  </si>
  <si>
    <t>UA4000236228</t>
  </si>
</sst>
</file>

<file path=xl/styles.xml><?xml version="1.0" encoding="utf-8"?>
<styleSheet xmlns="http://schemas.openxmlformats.org/spreadsheetml/2006/main">
  <numFmts count="7">
    <numFmt numFmtId="164" formatCode="#,##0.0000"/>
    <numFmt numFmtId="165" formatCode="0.0000"/>
    <numFmt numFmtId="166" formatCode="0.000000000"/>
    <numFmt numFmtId="167" formatCode="#,##0.00_ ;\-#,##0.00\ "/>
    <numFmt numFmtId="168" formatCode="#,##0.000"/>
    <numFmt numFmtId="169" formatCode="0.00000"/>
    <numFmt numFmtId="170" formatCode="0.000"/>
  </numFmts>
  <fonts count="118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0"/>
      <name val="Arial"/>
      <family val="2"/>
      <charset val="204"/>
    </font>
    <font>
      <sz val="12"/>
      <name val="Arimo"/>
    </font>
    <font>
      <sz val="8"/>
      <color indexed="8"/>
      <name val="Arial"/>
      <family val="2"/>
      <charset val="204"/>
    </font>
    <font>
      <sz val="8"/>
      <name val="Arial Cyr"/>
      <charset val="204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Arimo"/>
    </font>
    <font>
      <b/>
      <sz val="10"/>
      <color rgb="FF008000"/>
      <name val="Arimo"/>
    </font>
    <font>
      <b/>
      <sz val="10"/>
      <color rgb="FF008000"/>
      <name val="Arial Cyr"/>
      <charset val="204"/>
    </font>
    <font>
      <b/>
      <sz val="10"/>
      <color rgb="FF0000FF"/>
      <name val="Arimo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Arimo"/>
    </font>
    <font>
      <sz val="12"/>
      <color rgb="FF000000"/>
      <name val="Calibri"/>
      <family val="2"/>
      <charset val="204"/>
      <scheme val="minor"/>
    </font>
    <font>
      <b/>
      <sz val="12"/>
      <color rgb="FF008000"/>
      <name val="Arimo"/>
    </font>
    <font>
      <b/>
      <sz val="12"/>
      <color rgb="FF008000"/>
      <name val="Arial Cyr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Arimo"/>
    </font>
    <font>
      <b/>
      <sz val="12"/>
      <color rgb="FFC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Arimo"/>
      <charset val="204"/>
    </font>
    <font>
      <b/>
      <sz val="10"/>
      <color rgb="FF000000"/>
      <name val="Arimo"/>
    </font>
    <font>
      <sz val="12"/>
      <color rgb="FF000000"/>
      <name val="Arial"/>
      <family val="2"/>
      <charset val="204"/>
    </font>
    <font>
      <sz val="9"/>
      <color rgb="FF000000"/>
      <name val="Arimo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FF0000"/>
      <name val="Arimo"/>
    </font>
    <font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0"/>
      <color rgb="FFFF0000"/>
      <name val="Arimo"/>
    </font>
    <font>
      <sz val="8"/>
      <color rgb="FFFF000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3" tint="0.39997558519241921"/>
      <name val="Arimo"/>
    </font>
    <font>
      <sz val="12"/>
      <color theme="3" tint="0.3999755851924192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</font>
    <font>
      <sz val="8"/>
      <color theme="3" tint="0.39997558519241921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1"/>
      <color rgb="FF00800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0"/>
      <color rgb="FF002060"/>
      <name val="Calibri"/>
      <family val="2"/>
      <charset val="204"/>
    </font>
    <font>
      <b/>
      <sz val="11"/>
      <color rgb="FF00206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00206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b/>
      <sz val="11"/>
      <color rgb="FF0000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Microsoft Sans Serif"/>
      <family val="2"/>
      <charset val="204"/>
    </font>
    <font>
      <sz val="9"/>
      <color theme="1"/>
      <name val="Arial Cyr"/>
      <charset val="204"/>
    </font>
    <font>
      <b/>
      <sz val="10"/>
      <color theme="1"/>
      <name val="Arial Cyr"/>
      <charset val="204"/>
    </font>
    <font>
      <sz val="9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</font>
    <font>
      <b/>
      <sz val="11"/>
      <color rgb="FF7030A0"/>
      <name val="Calibri"/>
      <family val="2"/>
      <charset val="204"/>
    </font>
    <font>
      <sz val="9"/>
      <color rgb="FF7030A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8"/>
      <color rgb="FF7030A0"/>
      <name val="Arial"/>
      <family val="2"/>
      <charset val="204"/>
    </font>
    <font>
      <sz val="10"/>
      <color rgb="FF7030A0"/>
      <name val="Calibri"/>
      <family val="2"/>
      <charset val="204"/>
      <scheme val="minor"/>
    </font>
    <font>
      <sz val="10"/>
      <color theme="6" tint="0.79998168889431442"/>
      <name val="Calibri"/>
      <family val="2"/>
      <charset val="204"/>
      <scheme val="minor"/>
    </font>
    <font>
      <sz val="10"/>
      <color theme="0" tint="-4.9989318521683403E-2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D99795"/>
      </patternFill>
    </fill>
    <fill>
      <patternFill patternType="solid">
        <fgColor rgb="FFD99795"/>
        <bgColor rgb="FFD9979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B8B7"/>
        <bgColor rgb="FFE6B8B7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6B8B7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E6F1"/>
        <bgColor rgb="FFE6B8B7"/>
      </patternFill>
    </fill>
    <fill>
      <patternFill patternType="solid">
        <fgColor rgb="FFE4DFEC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EF3"/>
        <bgColor rgb="FF000000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</borders>
  <cellStyleXfs count="49">
    <xf numFmtId="0" fontId="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25" fillId="0" borderId="0"/>
    <xf numFmtId="0" fontId="17" fillId="0" borderId="0"/>
    <xf numFmtId="0" fontId="25" fillId="0" borderId="0"/>
    <xf numFmtId="0" fontId="18" fillId="0" borderId="0"/>
    <xf numFmtId="0" fontId="19" fillId="0" borderId="0"/>
    <xf numFmtId="0" fontId="20" fillId="0" borderId="0"/>
    <xf numFmtId="0" fontId="26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" fillId="0" borderId="0"/>
    <xf numFmtId="0" fontId="25" fillId="0" borderId="0"/>
    <xf numFmtId="0" fontId="8" fillId="0" borderId="0"/>
    <xf numFmtId="0" fontId="25" fillId="0" borderId="0"/>
    <xf numFmtId="0" fontId="9" fillId="0" borderId="0"/>
    <xf numFmtId="0" fontId="25" fillId="0" borderId="0"/>
    <xf numFmtId="0" fontId="13" fillId="0" borderId="0"/>
    <xf numFmtId="0" fontId="25" fillId="0" borderId="0"/>
    <xf numFmtId="0" fontId="14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5" fillId="0" borderId="0"/>
    <xf numFmtId="0" fontId="25" fillId="0" borderId="0"/>
    <xf numFmtId="0" fontId="25" fillId="0" borderId="0"/>
  </cellStyleXfs>
  <cellXfs count="10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NumberFormat="1"/>
    <xf numFmtId="0" fontId="27" fillId="2" borderId="3" xfId="0" applyFont="1" applyFill="1" applyBorder="1" applyAlignment="1">
      <alignment horizontal="left" wrapText="1" indent="1"/>
    </xf>
    <xf numFmtId="0" fontId="28" fillId="0" borderId="3" xfId="0" applyFont="1" applyBorder="1" applyAlignment="1">
      <alignment horizontal="left" wrapText="1" indent="1"/>
    </xf>
    <xf numFmtId="4" fontId="0" fillId="0" borderId="2" xfId="0" applyNumberFormat="1" applyBorder="1"/>
    <xf numFmtId="0" fontId="29" fillId="2" borderId="3" xfId="0" applyFont="1" applyFill="1" applyBorder="1" applyAlignment="1">
      <alignment horizontal="left" wrapText="1" indent="1"/>
    </xf>
    <xf numFmtId="0" fontId="28" fillId="0" borderId="4" xfId="0" applyFont="1" applyBorder="1" applyAlignment="1">
      <alignment horizontal="left" wrapText="1" indent="1"/>
    </xf>
    <xf numFmtId="0" fontId="28" fillId="2" borderId="4" xfId="0" applyFont="1" applyFill="1" applyBorder="1"/>
    <xf numFmtId="4" fontId="30" fillId="2" borderId="5" xfId="0" applyNumberFormat="1" applyFont="1" applyFill="1" applyBorder="1" applyAlignment="1">
      <alignment shrinkToFit="1"/>
    </xf>
    <xf numFmtId="166" fontId="28" fillId="0" borderId="4" xfId="0" applyNumberFormat="1" applyFont="1" applyBorder="1"/>
    <xf numFmtId="165" fontId="0" fillId="0" borderId="5" xfId="0" applyNumberFormat="1" applyBorder="1"/>
    <xf numFmtId="165" fontId="0" fillId="0" borderId="6" xfId="0" applyNumberFormat="1" applyBorder="1"/>
    <xf numFmtId="2" fontId="31" fillId="2" borderId="7" xfId="0" applyNumberFormat="1" applyFont="1" applyFill="1" applyBorder="1" applyAlignment="1"/>
    <xf numFmtId="2" fontId="31" fillId="2" borderId="8" xfId="0" applyNumberFormat="1" applyFont="1" applyFill="1" applyBorder="1" applyAlignment="1"/>
    <xf numFmtId="2" fontId="26" fillId="0" borderId="9" xfId="0" applyNumberFormat="1" applyFont="1" applyBorder="1" applyAlignment="1">
      <alignment wrapText="1"/>
    </xf>
    <xf numFmtId="2" fontId="26" fillId="0" borderId="10" xfId="0" applyNumberFormat="1" applyFont="1" applyBorder="1" applyAlignment="1">
      <alignment wrapText="1"/>
    </xf>
    <xf numFmtId="2" fontId="26" fillId="0" borderId="11" xfId="0" applyNumberFormat="1" applyFont="1" applyBorder="1" applyAlignment="1">
      <alignment wrapText="1"/>
    </xf>
    <xf numFmtId="2" fontId="32" fillId="0" borderId="12" xfId="0" applyNumberFormat="1" applyFont="1" applyBorder="1" applyAlignment="1"/>
    <xf numFmtId="2" fontId="31" fillId="2" borderId="7" xfId="0" applyNumberFormat="1" applyFont="1" applyFill="1" applyBorder="1" applyAlignment="1">
      <alignment horizontal="right"/>
    </xf>
    <xf numFmtId="2" fontId="32" fillId="0" borderId="13" xfId="0" applyNumberFormat="1" applyFont="1" applyBorder="1" applyAlignment="1"/>
    <xf numFmtId="2" fontId="32" fillId="0" borderId="3" xfId="0" applyNumberFormat="1" applyFont="1" applyBorder="1" applyAlignment="1"/>
    <xf numFmtId="2" fontId="32" fillId="0" borderId="14" xfId="0" applyNumberFormat="1" applyFont="1" applyBorder="1" applyAlignment="1"/>
    <xf numFmtId="165" fontId="33" fillId="3" borderId="15" xfId="0" applyNumberFormat="1" applyFont="1" applyFill="1" applyBorder="1" applyAlignment="1"/>
    <xf numFmtId="0" fontId="32" fillId="0" borderId="0" xfId="0" applyFont="1"/>
    <xf numFmtId="2" fontId="32" fillId="0" borderId="10" xfId="0" applyNumberFormat="1" applyFont="1" applyBorder="1"/>
    <xf numFmtId="2" fontId="32" fillId="0" borderId="0" xfId="0" applyNumberFormat="1" applyFont="1"/>
    <xf numFmtId="4" fontId="32" fillId="0" borderId="0" xfId="0" applyNumberFormat="1" applyFont="1" applyAlignment="1">
      <alignment wrapText="1"/>
    </xf>
    <xf numFmtId="164" fontId="32" fillId="0" borderId="0" xfId="0" applyNumberFormat="1" applyFont="1"/>
    <xf numFmtId="0" fontId="34" fillId="4" borderId="2" xfId="0" applyFont="1" applyFill="1" applyBorder="1" applyAlignment="1">
      <alignment horizontal="center" vertical="center" wrapText="1"/>
    </xf>
    <xf numFmtId="165" fontId="35" fillId="0" borderId="13" xfId="21" applyNumberFormat="1" applyFont="1" applyFill="1" applyBorder="1" applyAlignment="1">
      <alignment vertical="center"/>
    </xf>
    <xf numFmtId="165" fontId="35" fillId="0" borderId="3" xfId="21" applyNumberFormat="1" applyFont="1" applyFill="1" applyBorder="1" applyAlignment="1">
      <alignment vertical="center"/>
    </xf>
    <xf numFmtId="165" fontId="31" fillId="2" borderId="16" xfId="0" applyNumberFormat="1" applyFont="1" applyFill="1" applyBorder="1" applyAlignment="1"/>
    <xf numFmtId="164" fontId="26" fillId="0" borderId="58" xfId="0" applyNumberFormat="1" applyFont="1" applyBorder="1" applyAlignment="1">
      <alignment vertical="center"/>
    </xf>
    <xf numFmtId="4" fontId="35" fillId="0" borderId="59" xfId="0" applyNumberFormat="1" applyFont="1" applyFill="1" applyBorder="1" applyAlignment="1">
      <alignment wrapText="1"/>
    </xf>
    <xf numFmtId="4" fontId="35" fillId="5" borderId="10" xfId="23" applyNumberFormat="1" applyFont="1" applyFill="1" applyBorder="1" applyAlignment="1">
      <alignment vertical="center"/>
    </xf>
    <xf numFmtId="4" fontId="26" fillId="0" borderId="59" xfId="23" applyNumberFormat="1" applyFont="1" applyFill="1" applyBorder="1"/>
    <xf numFmtId="4" fontId="26" fillId="5" borderId="59" xfId="23" applyNumberFormat="1" applyFont="1" applyFill="1" applyBorder="1" applyAlignment="1">
      <alignment vertical="center"/>
    </xf>
    <xf numFmtId="4" fontId="26" fillId="0" borderId="59" xfId="23" applyNumberFormat="1" applyFont="1" applyFill="1" applyBorder="1" applyAlignment="1">
      <alignment vertical="center"/>
    </xf>
    <xf numFmtId="4" fontId="35" fillId="0" borderId="10" xfId="23" applyNumberFormat="1" applyFont="1" applyFill="1" applyBorder="1" applyAlignment="1">
      <alignment vertical="center"/>
    </xf>
    <xf numFmtId="4" fontId="32" fillId="0" borderId="10" xfId="23" applyNumberFormat="1" applyFont="1" applyFill="1" applyBorder="1"/>
    <xf numFmtId="4" fontId="26" fillId="5" borderId="10" xfId="23" applyNumberFormat="1" applyFont="1" applyFill="1" applyBorder="1" applyAlignment="1">
      <alignment horizontal="center" vertical="center" wrapText="1"/>
    </xf>
    <xf numFmtId="2" fontId="32" fillId="0" borderId="1" xfId="0" applyNumberFormat="1" applyFont="1" applyBorder="1" applyAlignment="1"/>
    <xf numFmtId="165" fontId="35" fillId="2" borderId="13" xfId="21" applyNumberFormat="1" applyFont="1" applyFill="1" applyBorder="1" applyAlignment="1">
      <alignment vertical="center"/>
    </xf>
    <xf numFmtId="4" fontId="36" fillId="6" borderId="60" xfId="0" applyNumberFormat="1" applyFont="1" applyFill="1" applyBorder="1"/>
    <xf numFmtId="4" fontId="37" fillId="0" borderId="61" xfId="0" applyNumberFormat="1" applyFont="1" applyBorder="1" applyAlignment="1">
      <alignment wrapText="1"/>
    </xf>
    <xf numFmtId="4" fontId="38" fillId="0" borderId="2" xfId="0" applyNumberFormat="1" applyFont="1" applyFill="1" applyBorder="1" applyAlignment="1">
      <alignment wrapText="1"/>
    </xf>
    <xf numFmtId="4" fontId="37" fillId="0" borderId="62" xfId="0" applyNumberFormat="1" applyFont="1" applyBorder="1" applyAlignment="1">
      <alignment wrapText="1"/>
    </xf>
    <xf numFmtId="4" fontId="36" fillId="7" borderId="63" xfId="0" applyNumberFormat="1" applyFont="1" applyFill="1" applyBorder="1"/>
    <xf numFmtId="4" fontId="39" fillId="2" borderId="64" xfId="0" applyNumberFormat="1" applyFont="1" applyFill="1" applyBorder="1" applyAlignment="1">
      <alignment vertical="center"/>
    </xf>
    <xf numFmtId="4" fontId="35" fillId="8" borderId="10" xfId="0" applyNumberFormat="1" applyFont="1" applyFill="1" applyBorder="1" applyAlignment="1">
      <alignment wrapText="1"/>
    </xf>
    <xf numFmtId="4" fontId="38" fillId="8" borderId="2" xfId="0" applyNumberFormat="1" applyFont="1" applyFill="1" applyBorder="1" applyAlignment="1">
      <alignment wrapText="1"/>
    </xf>
    <xf numFmtId="4" fontId="26" fillId="5" borderId="17" xfId="23" applyNumberFormat="1" applyFont="1" applyFill="1" applyBorder="1" applyAlignment="1">
      <alignment horizontal="center" vertical="center" wrapText="1"/>
    </xf>
    <xf numFmtId="4" fontId="26" fillId="0" borderId="17" xfId="23" applyNumberFormat="1" applyFont="1" applyFill="1" applyBorder="1" applyAlignment="1">
      <alignment horizontal="center" vertical="center" wrapText="1"/>
    </xf>
    <xf numFmtId="0" fontId="40" fillId="0" borderId="0" xfId="0" applyFont="1"/>
    <xf numFmtId="0" fontId="41" fillId="0" borderId="2" xfId="21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165" fontId="43" fillId="0" borderId="13" xfId="21" applyNumberFormat="1" applyFont="1" applyFill="1" applyBorder="1" applyAlignment="1">
      <alignment vertical="center"/>
    </xf>
    <xf numFmtId="165" fontId="41" fillId="0" borderId="5" xfId="21" applyNumberFormat="1" applyFont="1" applyFill="1" applyBorder="1" applyAlignment="1">
      <alignment horizontal="center" vertical="center" wrapText="1"/>
    </xf>
    <xf numFmtId="165" fontId="43" fillId="0" borderId="3" xfId="21" applyNumberFormat="1" applyFont="1" applyFill="1" applyBorder="1" applyAlignment="1">
      <alignment vertical="center"/>
    </xf>
    <xf numFmtId="165" fontId="44" fillId="2" borderId="16" xfId="0" applyNumberFormat="1" applyFont="1" applyFill="1" applyBorder="1" applyAlignment="1"/>
    <xf numFmtId="165" fontId="44" fillId="2" borderId="5" xfId="0" applyNumberFormat="1" applyFont="1" applyFill="1" applyBorder="1" applyAlignment="1"/>
    <xf numFmtId="0" fontId="41" fillId="0" borderId="2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164" fontId="45" fillId="0" borderId="65" xfId="0" applyNumberFormat="1" applyFont="1" applyBorder="1" applyAlignment="1">
      <alignment vertical="center"/>
    </xf>
    <xf numFmtId="165" fontId="3" fillId="0" borderId="2" xfId="0" applyNumberFormat="1" applyFont="1" applyFill="1" applyBorder="1" applyAlignment="1">
      <alignment horizontal="center" vertical="center" wrapText="1"/>
    </xf>
    <xf numFmtId="0" fontId="46" fillId="0" borderId="66" xfId="0" applyFont="1" applyBorder="1" applyAlignment="1">
      <alignment horizontal="center" vertical="center" wrapText="1"/>
    </xf>
    <xf numFmtId="0" fontId="46" fillId="0" borderId="67" xfId="0" applyFont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6" fillId="0" borderId="68" xfId="0" applyFont="1" applyBorder="1" applyAlignment="1">
      <alignment horizontal="center" vertical="center" wrapText="1"/>
    </xf>
    <xf numFmtId="0" fontId="46" fillId="0" borderId="68" xfId="0" applyFont="1" applyFill="1" applyBorder="1" applyAlignment="1">
      <alignment horizontal="center" vertical="center" wrapText="1"/>
    </xf>
    <xf numFmtId="0" fontId="41" fillId="9" borderId="2" xfId="0" applyFont="1" applyFill="1" applyBorder="1" applyAlignment="1">
      <alignment horizontal="center" vertical="center" wrapText="1"/>
    </xf>
    <xf numFmtId="0" fontId="41" fillId="9" borderId="4" xfId="0" applyFont="1" applyFill="1" applyBorder="1" applyAlignment="1">
      <alignment horizontal="center" vertical="center" wrapText="1"/>
    </xf>
    <xf numFmtId="2" fontId="44" fillId="2" borderId="7" xfId="0" applyNumberFormat="1" applyFont="1" applyFill="1" applyBorder="1" applyAlignment="1"/>
    <xf numFmtId="4" fontId="44" fillId="2" borderId="7" xfId="0" applyNumberFormat="1" applyFont="1" applyFill="1" applyBorder="1" applyAlignment="1"/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2" fontId="40" fillId="0" borderId="10" xfId="0" applyNumberFormat="1" applyFont="1" applyBorder="1"/>
    <xf numFmtId="2" fontId="40" fillId="0" borderId="5" xfId="0" applyNumberFormat="1" applyFont="1" applyBorder="1"/>
    <xf numFmtId="2" fontId="44" fillId="2" borderId="8" xfId="0" applyNumberFormat="1" applyFont="1" applyFill="1" applyBorder="1" applyAlignment="1"/>
    <xf numFmtId="4" fontId="44" fillId="2" borderId="8" xfId="0" applyNumberFormat="1" applyFont="1" applyFill="1" applyBorder="1" applyAlignment="1"/>
    <xf numFmtId="0" fontId="40" fillId="0" borderId="19" xfId="0" applyFont="1" applyBorder="1"/>
    <xf numFmtId="0" fontId="40" fillId="0" borderId="20" xfId="0" applyFont="1" applyBorder="1"/>
    <xf numFmtId="2" fontId="46" fillId="0" borderId="9" xfId="0" applyNumberFormat="1" applyFont="1" applyBorder="1" applyAlignment="1">
      <alignment wrapText="1"/>
    </xf>
    <xf numFmtId="167" fontId="46" fillId="0" borderId="21" xfId="0" applyNumberFormat="1" applyFont="1" applyBorder="1" applyAlignment="1">
      <alignment wrapText="1"/>
    </xf>
    <xf numFmtId="0" fontId="40" fillId="0" borderId="22" xfId="0" applyFont="1" applyBorder="1"/>
    <xf numFmtId="0" fontId="40" fillId="0" borderId="4" xfId="0" applyFont="1" applyBorder="1"/>
    <xf numFmtId="2" fontId="46" fillId="0" borderId="10" xfId="0" applyNumberFormat="1" applyFont="1" applyBorder="1" applyAlignment="1">
      <alignment wrapText="1"/>
    </xf>
    <xf numFmtId="167" fontId="46" fillId="0" borderId="16" xfId="0" applyNumberFormat="1" applyFont="1" applyBorder="1" applyAlignment="1">
      <alignment wrapText="1"/>
    </xf>
    <xf numFmtId="0" fontId="40" fillId="0" borderId="23" xfId="0" applyFont="1" applyBorder="1"/>
    <xf numFmtId="0" fontId="40" fillId="0" borderId="24" xfId="0" applyFont="1" applyBorder="1"/>
    <xf numFmtId="2" fontId="46" fillId="0" borderId="11" xfId="0" applyNumberFormat="1" applyFont="1" applyBorder="1" applyAlignment="1">
      <alignment wrapText="1"/>
    </xf>
    <xf numFmtId="167" fontId="46" fillId="0" borderId="25" xfId="0" applyNumberFormat="1" applyFont="1" applyBorder="1" applyAlignment="1">
      <alignment wrapText="1"/>
    </xf>
    <xf numFmtId="165" fontId="44" fillId="2" borderId="8" xfId="0" applyNumberFormat="1" applyFont="1" applyFill="1" applyBorder="1" applyAlignment="1"/>
    <xf numFmtId="0" fontId="41" fillId="0" borderId="26" xfId="0" applyFont="1" applyFill="1" applyBorder="1" applyAlignment="1">
      <alignment horizontal="left" vertical="center"/>
    </xf>
    <xf numFmtId="0" fontId="43" fillId="0" borderId="27" xfId="0" applyFont="1" applyFill="1" applyBorder="1"/>
    <xf numFmtId="4" fontId="47" fillId="0" borderId="61" xfId="0" applyNumberFormat="1" applyFont="1" applyBorder="1" applyAlignment="1">
      <alignment wrapText="1"/>
    </xf>
    <xf numFmtId="0" fontId="41" fillId="0" borderId="2" xfId="0" applyFont="1" applyFill="1" applyBorder="1" applyAlignment="1">
      <alignment horizontal="left" vertical="center"/>
    </xf>
    <xf numFmtId="0" fontId="43" fillId="0" borderId="5" xfId="0" applyFont="1" applyFill="1" applyBorder="1"/>
    <xf numFmtId="0" fontId="41" fillId="0" borderId="18" xfId="0" applyFont="1" applyFill="1" applyBorder="1" applyAlignment="1">
      <alignment horizontal="left" vertical="center"/>
    </xf>
    <xf numFmtId="4" fontId="48" fillId="0" borderId="2" xfId="0" applyNumberFormat="1" applyFont="1" applyFill="1" applyBorder="1" applyAlignment="1">
      <alignment wrapText="1"/>
    </xf>
    <xf numFmtId="0" fontId="41" fillId="8" borderId="18" xfId="0" applyFont="1" applyFill="1" applyBorder="1" applyAlignment="1">
      <alignment horizontal="left" vertical="center"/>
    </xf>
    <xf numFmtId="0" fontId="40" fillId="8" borderId="24" xfId="0" applyFont="1" applyFill="1" applyBorder="1"/>
    <xf numFmtId="0" fontId="43" fillId="8" borderId="5" xfId="0" applyFont="1" applyFill="1" applyBorder="1"/>
    <xf numFmtId="4" fontId="48" fillId="8" borderId="2" xfId="0" applyNumberFormat="1" applyFont="1" applyFill="1" applyBorder="1" applyAlignment="1">
      <alignment wrapText="1"/>
    </xf>
    <xf numFmtId="0" fontId="40" fillId="8" borderId="0" xfId="0" applyFont="1" applyFill="1"/>
    <xf numFmtId="167" fontId="43" fillId="0" borderId="5" xfId="0" applyNumberFormat="1" applyFont="1" applyFill="1" applyBorder="1" applyAlignment="1">
      <alignment horizontal="right" vertical="center" wrapText="1"/>
    </xf>
    <xf numFmtId="4" fontId="47" fillId="0" borderId="62" xfId="0" applyNumberFormat="1" applyFont="1" applyBorder="1" applyAlignment="1">
      <alignment wrapText="1"/>
    </xf>
    <xf numFmtId="2" fontId="40" fillId="0" borderId="12" xfId="0" applyNumberFormat="1" applyFont="1" applyBorder="1" applyAlignment="1"/>
    <xf numFmtId="2" fontId="40" fillId="0" borderId="28" xfId="0" applyNumberFormat="1" applyFont="1" applyBorder="1"/>
    <xf numFmtId="2" fontId="44" fillId="2" borderId="29" xfId="0" applyNumberFormat="1" applyFont="1" applyFill="1" applyBorder="1" applyAlignment="1"/>
    <xf numFmtId="165" fontId="44" fillId="2" borderId="29" xfId="0" applyNumberFormat="1" applyFont="1" applyFill="1" applyBorder="1" applyAlignment="1"/>
    <xf numFmtId="0" fontId="46" fillId="0" borderId="30" xfId="0" applyFont="1" applyBorder="1" applyAlignment="1">
      <alignment horizontal="center" wrapText="1"/>
    </xf>
    <xf numFmtId="0" fontId="46" fillId="0" borderId="4" xfId="23" applyFont="1" applyBorder="1" applyAlignment="1">
      <alignment horizontal="center" vertical="center" wrapText="1"/>
    </xf>
    <xf numFmtId="4" fontId="43" fillId="5" borderId="10" xfId="23" applyNumberFormat="1" applyFont="1" applyFill="1" applyBorder="1" applyAlignment="1">
      <alignment vertical="center"/>
    </xf>
    <xf numFmtId="2" fontId="46" fillId="5" borderId="31" xfId="23" applyNumberFormat="1" applyFont="1" applyFill="1" applyBorder="1" applyAlignment="1">
      <alignment horizontal="center" vertical="center" wrapText="1"/>
    </xf>
    <xf numFmtId="4" fontId="43" fillId="0" borderId="10" xfId="23" applyNumberFormat="1" applyFont="1" applyFill="1" applyBorder="1" applyAlignment="1">
      <alignment vertical="center"/>
    </xf>
    <xf numFmtId="2" fontId="46" fillId="0" borderId="31" xfId="23" applyNumberFormat="1" applyFont="1" applyFill="1" applyBorder="1" applyAlignment="1">
      <alignment horizontal="center" vertical="center" wrapText="1"/>
    </xf>
    <xf numFmtId="4" fontId="43" fillId="0" borderId="32" xfId="23" applyNumberFormat="1" applyFont="1" applyFill="1" applyBorder="1" applyAlignment="1">
      <alignment vertical="center"/>
    </xf>
    <xf numFmtId="2" fontId="46" fillId="0" borderId="33" xfId="23" applyNumberFormat="1" applyFont="1" applyFill="1" applyBorder="1" applyAlignment="1">
      <alignment horizontal="center" vertical="center" wrapText="1"/>
    </xf>
    <xf numFmtId="0" fontId="46" fillId="0" borderId="16" xfId="0" applyFont="1" applyBorder="1" applyAlignment="1">
      <alignment horizontal="center" wrapText="1"/>
    </xf>
    <xf numFmtId="0" fontId="46" fillId="0" borderId="4" xfId="23" applyFont="1" applyFill="1" applyBorder="1" applyAlignment="1">
      <alignment horizontal="center" vertical="center" wrapText="1"/>
    </xf>
    <xf numFmtId="2" fontId="46" fillId="0" borderId="5" xfId="23" applyNumberFormat="1" applyFont="1" applyFill="1" applyBorder="1" applyAlignment="1">
      <alignment horizontal="center" vertical="center" wrapText="1"/>
    </xf>
    <xf numFmtId="4" fontId="49" fillId="10" borderId="64" xfId="0" applyNumberFormat="1" applyFont="1" applyFill="1" applyBorder="1"/>
    <xf numFmtId="4" fontId="49" fillId="10" borderId="10" xfId="0" applyNumberFormat="1" applyFont="1" applyFill="1" applyBorder="1"/>
    <xf numFmtId="2" fontId="46" fillId="5" borderId="5" xfId="23" applyNumberFormat="1" applyFont="1" applyFill="1" applyBorder="1" applyAlignment="1">
      <alignment horizontal="center" vertical="center" wrapText="1"/>
    </xf>
    <xf numFmtId="4" fontId="46" fillId="5" borderId="10" xfId="23" applyNumberFormat="1" applyFont="1" applyFill="1" applyBorder="1" applyAlignment="1">
      <alignment vertical="center"/>
    </xf>
    <xf numFmtId="0" fontId="46" fillId="0" borderId="34" xfId="0" applyFont="1" applyBorder="1" applyAlignment="1">
      <alignment horizontal="center" vertical="center" wrapText="1"/>
    </xf>
    <xf numFmtId="4" fontId="46" fillId="0" borderId="10" xfId="23" applyNumberFormat="1" applyFont="1" applyFill="1" applyBorder="1" applyAlignment="1">
      <alignment vertical="center"/>
    </xf>
    <xf numFmtId="4" fontId="46" fillId="0" borderId="10" xfId="23" applyNumberFormat="1" applyFont="1" applyFill="1" applyBorder="1"/>
    <xf numFmtId="0" fontId="40" fillId="0" borderId="16" xfId="0" applyFont="1" applyBorder="1"/>
    <xf numFmtId="0" fontId="46" fillId="0" borderId="21" xfId="0" applyFont="1" applyBorder="1" applyAlignment="1">
      <alignment horizontal="center" wrapText="1"/>
    </xf>
    <xf numFmtId="0" fontId="46" fillId="0" borderId="35" xfId="23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center" wrapText="1"/>
    </xf>
    <xf numFmtId="4" fontId="46" fillId="5" borderId="10" xfId="23" applyNumberFormat="1" applyFont="1" applyFill="1" applyBorder="1" applyAlignment="1">
      <alignment horizontal="center" vertical="center" wrapText="1"/>
    </xf>
    <xf numFmtId="0" fontId="40" fillId="0" borderId="0" xfId="0" applyFont="1" applyFill="1"/>
    <xf numFmtId="4" fontId="49" fillId="5" borderId="0" xfId="0" applyNumberFormat="1" applyFont="1" applyFill="1" applyBorder="1"/>
    <xf numFmtId="4" fontId="50" fillId="2" borderId="64" xfId="0" applyNumberFormat="1" applyFont="1" applyFill="1" applyBorder="1" applyAlignment="1">
      <alignment vertical="center"/>
    </xf>
    <xf numFmtId="2" fontId="44" fillId="2" borderId="36" xfId="0" applyNumberFormat="1" applyFont="1" applyFill="1" applyBorder="1" applyAlignment="1">
      <alignment horizontal="right"/>
    </xf>
    <xf numFmtId="2" fontId="44" fillId="2" borderId="6" xfId="0" applyNumberFormat="1" applyFont="1" applyFill="1" applyBorder="1" applyAlignment="1">
      <alignment horizontal="right"/>
    </xf>
    <xf numFmtId="0" fontId="40" fillId="0" borderId="13" xfId="0" applyFont="1" applyBorder="1"/>
    <xf numFmtId="2" fontId="40" fillId="0" borderId="13" xfId="0" applyNumberFormat="1" applyFont="1" applyBorder="1" applyAlignment="1"/>
    <xf numFmtId="4" fontId="40" fillId="0" borderId="21" xfId="0" applyNumberFormat="1" applyFont="1" applyBorder="1" applyAlignment="1"/>
    <xf numFmtId="0" fontId="40" fillId="0" borderId="3" xfId="0" applyFont="1" applyBorder="1"/>
    <xf numFmtId="2" fontId="40" fillId="0" borderId="3" xfId="0" applyNumberFormat="1" applyFont="1" applyBorder="1" applyAlignment="1"/>
    <xf numFmtId="4" fontId="40" fillId="0" borderId="16" xfId="0" applyNumberFormat="1" applyFont="1" applyBorder="1" applyAlignment="1"/>
    <xf numFmtId="2" fontId="40" fillId="0" borderId="0" xfId="0" applyNumberFormat="1" applyFont="1"/>
    <xf numFmtId="2" fontId="40" fillId="0" borderId="14" xfId="0" applyNumberFormat="1" applyFont="1" applyBorder="1" applyAlignment="1"/>
    <xf numFmtId="4" fontId="40" fillId="0" borderId="37" xfId="0" applyNumberFormat="1" applyFont="1" applyBorder="1" applyAlignment="1"/>
    <xf numFmtId="4" fontId="44" fillId="0" borderId="0" xfId="0" applyNumberFormat="1" applyFont="1"/>
    <xf numFmtId="4" fontId="44" fillId="0" borderId="14" xfId="0" applyNumberFormat="1" applyFont="1" applyBorder="1" applyAlignment="1">
      <alignment horizontal="center"/>
    </xf>
    <xf numFmtId="165" fontId="51" fillId="3" borderId="15" xfId="0" applyNumberFormat="1" applyFont="1" applyFill="1" applyBorder="1" applyAlignment="1"/>
    <xf numFmtId="4" fontId="40" fillId="0" borderId="0" xfId="0" applyNumberFormat="1" applyFont="1" applyAlignment="1">
      <alignment wrapText="1"/>
    </xf>
    <xf numFmtId="164" fontId="40" fillId="0" borderId="0" xfId="0" applyNumberFormat="1" applyFont="1"/>
    <xf numFmtId="0" fontId="41" fillId="4" borderId="2" xfId="0" applyFont="1" applyFill="1" applyBorder="1" applyAlignment="1">
      <alignment horizontal="center" vertical="center" wrapText="1"/>
    </xf>
    <xf numFmtId="165" fontId="34" fillId="0" borderId="5" xfId="21" applyNumberFormat="1" applyFont="1" applyFill="1" applyBorder="1" applyAlignment="1">
      <alignment horizontal="center" vertical="center" wrapText="1"/>
    </xf>
    <xf numFmtId="165" fontId="34" fillId="2" borderId="5" xfId="21" applyNumberFormat="1" applyFont="1" applyFill="1" applyBorder="1" applyAlignment="1">
      <alignment horizontal="center" vertical="center" wrapText="1"/>
    </xf>
    <xf numFmtId="165" fontId="31" fillId="2" borderId="5" xfId="0" applyNumberFormat="1" applyFont="1" applyFill="1" applyBorder="1" applyAlignment="1"/>
    <xf numFmtId="165" fontId="34" fillId="0" borderId="5" xfId="0" applyNumberFormat="1" applyFont="1" applyFill="1" applyBorder="1" applyAlignment="1">
      <alignment horizontal="center" vertical="center" wrapText="1"/>
    </xf>
    <xf numFmtId="164" fontId="36" fillId="0" borderId="65" xfId="0" applyNumberFormat="1" applyFont="1" applyBorder="1" applyAlignment="1">
      <alignment vertical="center"/>
    </xf>
    <xf numFmtId="165" fontId="2" fillId="0" borderId="2" xfId="0" applyNumberFormat="1" applyFont="1" applyFill="1" applyBorder="1" applyAlignment="1">
      <alignment horizontal="center" vertical="center" wrapText="1"/>
    </xf>
    <xf numFmtId="4" fontId="31" fillId="2" borderId="7" xfId="0" applyNumberFormat="1" applyFont="1" applyFill="1" applyBorder="1" applyAlignment="1"/>
    <xf numFmtId="2" fontId="32" fillId="0" borderId="5" xfId="0" applyNumberFormat="1" applyFont="1" applyBorder="1"/>
    <xf numFmtId="4" fontId="31" fillId="2" borderId="8" xfId="0" applyNumberFormat="1" applyFont="1" applyFill="1" applyBorder="1" applyAlignment="1"/>
    <xf numFmtId="167" fontId="26" fillId="0" borderId="21" xfId="0" applyNumberFormat="1" applyFont="1" applyBorder="1" applyAlignment="1">
      <alignment wrapText="1"/>
    </xf>
    <xf numFmtId="167" fontId="26" fillId="0" borderId="16" xfId="0" applyNumberFormat="1" applyFont="1" applyBorder="1" applyAlignment="1">
      <alignment wrapText="1"/>
    </xf>
    <xf numFmtId="167" fontId="26" fillId="0" borderId="25" xfId="0" applyNumberFormat="1" applyFont="1" applyBorder="1" applyAlignment="1">
      <alignment wrapText="1"/>
    </xf>
    <xf numFmtId="165" fontId="31" fillId="2" borderId="8" xfId="0" applyNumberFormat="1" applyFont="1" applyFill="1" applyBorder="1" applyAlignment="1"/>
    <xf numFmtId="0" fontId="35" fillId="0" borderId="27" xfId="0" applyFont="1" applyFill="1" applyBorder="1"/>
    <xf numFmtId="0" fontId="35" fillId="0" borderId="5" xfId="0" applyFont="1" applyFill="1" applyBorder="1"/>
    <xf numFmtId="0" fontId="35" fillId="8" borderId="5" xfId="0" applyFont="1" applyFill="1" applyBorder="1"/>
    <xf numFmtId="167" fontId="35" fillId="0" borderId="5" xfId="0" applyNumberFormat="1" applyFont="1" applyFill="1" applyBorder="1" applyAlignment="1">
      <alignment horizontal="right" vertical="center" wrapText="1"/>
    </xf>
    <xf numFmtId="2" fontId="32" fillId="0" borderId="28" xfId="0" applyNumberFormat="1" applyFont="1" applyBorder="1"/>
    <xf numFmtId="2" fontId="26" fillId="5" borderId="31" xfId="23" applyNumberFormat="1" applyFont="1" applyFill="1" applyBorder="1" applyAlignment="1">
      <alignment horizontal="center" vertical="center" wrapText="1"/>
    </xf>
    <xf numFmtId="2" fontId="26" fillId="0" borderId="31" xfId="23" applyNumberFormat="1" applyFont="1" applyFill="1" applyBorder="1" applyAlignment="1">
      <alignment horizontal="center" vertical="center" wrapText="1"/>
    </xf>
    <xf numFmtId="2" fontId="26" fillId="0" borderId="24" xfId="23" applyNumberFormat="1" applyFont="1" applyFill="1" applyBorder="1" applyAlignment="1">
      <alignment horizontal="center" vertical="center" wrapText="1"/>
    </xf>
    <xf numFmtId="2" fontId="26" fillId="0" borderId="5" xfId="23" applyNumberFormat="1" applyFont="1" applyFill="1" applyBorder="1" applyAlignment="1">
      <alignment horizontal="center" vertical="center" wrapText="1"/>
    </xf>
    <xf numFmtId="4" fontId="52" fillId="10" borderId="64" xfId="0" applyNumberFormat="1" applyFont="1" applyFill="1" applyBorder="1"/>
    <xf numFmtId="2" fontId="26" fillId="0" borderId="4" xfId="23" applyNumberFormat="1" applyFont="1" applyFill="1" applyBorder="1" applyAlignment="1">
      <alignment horizontal="center" vertical="center" wrapText="1"/>
    </xf>
    <xf numFmtId="2" fontId="26" fillId="5" borderId="5" xfId="23" applyNumberFormat="1" applyFont="1" applyFill="1" applyBorder="1" applyAlignment="1">
      <alignment horizontal="center" vertical="center" wrapText="1"/>
    </xf>
    <xf numFmtId="2" fontId="26" fillId="5" borderId="4" xfId="23" applyNumberFormat="1" applyFont="1" applyFill="1" applyBorder="1" applyAlignment="1">
      <alignment horizontal="center" vertical="center" wrapText="1"/>
    </xf>
    <xf numFmtId="2" fontId="26" fillId="5" borderId="38" xfId="23" applyNumberFormat="1" applyFont="1" applyFill="1" applyBorder="1" applyAlignment="1">
      <alignment horizontal="center" vertical="center" wrapText="1"/>
    </xf>
    <xf numFmtId="2" fontId="26" fillId="5" borderId="0" xfId="23" applyNumberFormat="1" applyFont="1" applyFill="1" applyBorder="1" applyAlignment="1">
      <alignment horizontal="center" vertical="center" wrapText="1"/>
    </xf>
    <xf numFmtId="2" fontId="26" fillId="0" borderId="38" xfId="23" applyNumberFormat="1" applyFont="1" applyFill="1" applyBorder="1" applyAlignment="1">
      <alignment horizontal="center" vertical="center" wrapText="1"/>
    </xf>
    <xf numFmtId="2" fontId="31" fillId="2" borderId="39" xfId="0" applyNumberFormat="1" applyFont="1" applyFill="1" applyBorder="1" applyAlignment="1">
      <alignment horizontal="right"/>
    </xf>
    <xf numFmtId="4" fontId="32" fillId="0" borderId="13" xfId="0" applyNumberFormat="1" applyFont="1" applyBorder="1" applyAlignment="1"/>
    <xf numFmtId="4" fontId="32" fillId="0" borderId="30" xfId="0" applyNumberFormat="1" applyFont="1" applyBorder="1" applyAlignment="1"/>
    <xf numFmtId="4" fontId="32" fillId="0" borderId="3" xfId="0" applyNumberFormat="1" applyFont="1" applyBorder="1" applyAlignment="1"/>
    <xf numFmtId="4" fontId="32" fillId="0" borderId="16" xfId="0" applyNumberFormat="1" applyFont="1" applyBorder="1" applyAlignment="1"/>
    <xf numFmtId="4" fontId="32" fillId="0" borderId="14" xfId="0" applyNumberFormat="1" applyFont="1" applyBorder="1" applyAlignment="1"/>
    <xf numFmtId="4" fontId="32" fillId="0" borderId="37" xfId="0" applyNumberFormat="1" applyFont="1" applyBorder="1" applyAlignment="1"/>
    <xf numFmtId="164" fontId="33" fillId="3" borderId="15" xfId="0" applyNumberFormat="1" applyFont="1" applyFill="1" applyBorder="1" applyAlignment="1"/>
    <xf numFmtId="164" fontId="33" fillId="3" borderId="8" xfId="0" applyNumberFormat="1" applyFont="1" applyFill="1" applyBorder="1" applyAlignment="1"/>
    <xf numFmtId="164" fontId="4" fillId="11" borderId="40" xfId="23" applyNumberFormat="1" applyFont="1" applyFill="1" applyBorder="1" applyAlignment="1">
      <alignment vertical="center"/>
    </xf>
    <xf numFmtId="4" fontId="5" fillId="0" borderId="10" xfId="0" applyNumberFormat="1" applyFont="1" applyFill="1" applyBorder="1" applyAlignment="1">
      <alignment vertical="center"/>
    </xf>
    <xf numFmtId="2" fontId="43" fillId="0" borderId="5" xfId="23" applyNumberFormat="1" applyFont="1" applyFill="1" applyBorder="1" applyAlignment="1">
      <alignment horizontal="center" vertical="center" wrapText="1"/>
    </xf>
    <xf numFmtId="4" fontId="45" fillId="0" borderId="10" xfId="0" applyNumberFormat="1" applyFont="1" applyFill="1" applyBorder="1"/>
    <xf numFmtId="164" fontId="36" fillId="0" borderId="4" xfId="0" applyNumberFormat="1" applyFont="1" applyBorder="1" applyAlignment="1">
      <alignment vertical="center"/>
    </xf>
    <xf numFmtId="165" fontId="6" fillId="0" borderId="2" xfId="0" applyNumberFormat="1" applyFont="1" applyFill="1" applyBorder="1" applyAlignment="1">
      <alignment horizontal="center" vertical="center" wrapText="1"/>
    </xf>
    <xf numFmtId="164" fontId="36" fillId="0" borderId="20" xfId="0" applyNumberFormat="1" applyFont="1" applyBorder="1" applyAlignment="1">
      <alignment vertical="center"/>
    </xf>
    <xf numFmtId="164" fontId="36" fillId="0" borderId="69" xfId="0" applyNumberFormat="1" applyFont="1" applyBorder="1" applyAlignment="1">
      <alignment vertical="center"/>
    </xf>
    <xf numFmtId="164" fontId="36" fillId="0" borderId="70" xfId="0" applyNumberFormat="1" applyFont="1" applyBorder="1" applyAlignment="1">
      <alignment vertical="center"/>
    </xf>
    <xf numFmtId="164" fontId="36" fillId="2" borderId="70" xfId="0" applyNumberFormat="1" applyFont="1" applyFill="1" applyBorder="1" applyAlignment="1">
      <alignment vertical="center"/>
    </xf>
    <xf numFmtId="165" fontId="6" fillId="2" borderId="2" xfId="0" applyNumberFormat="1" applyFont="1" applyFill="1" applyBorder="1" applyAlignment="1">
      <alignment horizontal="center" vertical="center" wrapText="1"/>
    </xf>
    <xf numFmtId="4" fontId="53" fillId="10" borderId="64" xfId="0" applyNumberFormat="1" applyFont="1" applyFill="1" applyBorder="1"/>
    <xf numFmtId="4" fontId="54" fillId="12" borderId="64" xfId="0" applyNumberFormat="1" applyFont="1" applyFill="1" applyBorder="1" applyAlignment="1">
      <alignment vertical="center"/>
    </xf>
    <xf numFmtId="164" fontId="36" fillId="2" borderId="69" xfId="0" applyNumberFormat="1" applyFont="1" applyFill="1" applyBorder="1" applyAlignment="1">
      <alignment vertical="center"/>
    </xf>
    <xf numFmtId="4" fontId="36" fillId="12" borderId="64" xfId="0" applyNumberFormat="1" applyFont="1" applyFill="1" applyBorder="1" applyAlignment="1">
      <alignment vertical="center"/>
    </xf>
    <xf numFmtId="4" fontId="37" fillId="0" borderId="2" xfId="0" applyNumberFormat="1" applyFont="1" applyBorder="1" applyAlignment="1">
      <alignment wrapText="1"/>
    </xf>
    <xf numFmtId="4" fontId="7" fillId="0" borderId="26" xfId="0" applyNumberFormat="1" applyFont="1" applyFill="1" applyBorder="1" applyAlignment="1">
      <alignment vertical="center"/>
    </xf>
    <xf numFmtId="164" fontId="36" fillId="0" borderId="70" xfId="0" applyNumberFormat="1" applyFont="1" applyFill="1" applyBorder="1" applyAlignment="1">
      <alignment vertical="center"/>
    </xf>
    <xf numFmtId="164" fontId="36" fillId="0" borderId="69" xfId="0" applyNumberFormat="1" applyFont="1" applyFill="1" applyBorder="1" applyAlignment="1">
      <alignment vertical="center"/>
    </xf>
    <xf numFmtId="164" fontId="45" fillId="5" borderId="65" xfId="0" applyNumberFormat="1" applyFont="1" applyFill="1" applyBorder="1" applyAlignment="1">
      <alignment vertical="center"/>
    </xf>
    <xf numFmtId="165" fontId="3" fillId="5" borderId="2" xfId="0" applyNumberFormat="1" applyFont="1" applyFill="1" applyBorder="1" applyAlignment="1">
      <alignment horizontal="center" vertical="center" wrapText="1"/>
    </xf>
    <xf numFmtId="4" fontId="37" fillId="0" borderId="61" xfId="0" applyNumberFormat="1" applyFont="1" applyFill="1" applyBorder="1" applyAlignment="1">
      <alignment wrapText="1"/>
    </xf>
    <xf numFmtId="4" fontId="55" fillId="0" borderId="64" xfId="0" applyNumberFormat="1" applyFont="1" applyFill="1" applyBorder="1" applyAlignment="1">
      <alignment vertical="center"/>
    </xf>
    <xf numFmtId="4" fontId="36" fillId="7" borderId="2" xfId="0" applyNumberFormat="1" applyFont="1" applyFill="1" applyBorder="1"/>
    <xf numFmtId="0" fontId="40" fillId="0" borderId="39" xfId="0" applyFont="1" applyFill="1" applyBorder="1"/>
    <xf numFmtId="0" fontId="56" fillId="0" borderId="41" xfId="0" applyFont="1" applyFill="1" applyBorder="1" applyAlignment="1">
      <alignment horizontal="center" vertical="center" wrapText="1"/>
    </xf>
    <xf numFmtId="0" fontId="40" fillId="0" borderId="15" xfId="0" applyFont="1" applyBorder="1"/>
    <xf numFmtId="0" fontId="56" fillId="0" borderId="42" xfId="0" applyFont="1" applyFill="1" applyBorder="1" applyAlignment="1">
      <alignment horizontal="center" vertical="center" wrapText="1"/>
    </xf>
    <xf numFmtId="0" fontId="46" fillId="0" borderId="24" xfId="23" applyFont="1" applyFill="1" applyBorder="1" applyAlignment="1">
      <alignment horizontal="center" vertical="center" wrapText="1"/>
    </xf>
    <xf numFmtId="164" fontId="57" fillId="0" borderId="65" xfId="0" applyNumberFormat="1" applyFont="1" applyBorder="1" applyAlignment="1">
      <alignment vertical="center"/>
    </xf>
    <xf numFmtId="4" fontId="37" fillId="2" borderId="61" xfId="0" applyNumberFormat="1" applyFont="1" applyFill="1" applyBorder="1" applyAlignment="1">
      <alignment wrapText="1"/>
    </xf>
    <xf numFmtId="2" fontId="46" fillId="13" borderId="33" xfId="23" applyNumberFormat="1" applyFont="1" applyFill="1" applyBorder="1" applyAlignment="1">
      <alignment horizontal="center" vertical="center" wrapText="1"/>
    </xf>
    <xf numFmtId="165" fontId="6" fillId="2" borderId="2" xfId="27" applyNumberFormat="1" applyFont="1" applyFill="1" applyBorder="1" applyAlignment="1">
      <alignment horizontal="center" vertical="center" wrapText="1"/>
    </xf>
    <xf numFmtId="4" fontId="40" fillId="0" borderId="0" xfId="0" applyNumberFormat="1" applyFont="1"/>
    <xf numFmtId="164" fontId="36" fillId="2" borderId="70" xfId="27" applyNumberFormat="1" applyFont="1" applyFill="1" applyBorder="1" applyAlignment="1">
      <alignment vertical="center"/>
    </xf>
    <xf numFmtId="165" fontId="6" fillId="0" borderId="2" xfId="27" applyNumberFormat="1" applyFont="1" applyFill="1" applyBorder="1" applyAlignment="1">
      <alignment horizontal="center" vertical="center" wrapText="1"/>
    </xf>
    <xf numFmtId="164" fontId="36" fillId="0" borderId="69" xfId="27" applyNumberFormat="1" applyFont="1" applyBorder="1" applyAlignment="1">
      <alignment vertical="center"/>
    </xf>
    <xf numFmtId="164" fontId="36" fillId="0" borderId="70" xfId="27" applyNumberFormat="1" applyFont="1" applyBorder="1" applyAlignment="1">
      <alignment vertical="center"/>
    </xf>
    <xf numFmtId="164" fontId="36" fillId="0" borderId="4" xfId="27" applyNumberFormat="1" applyFont="1" applyBorder="1" applyAlignment="1">
      <alignment vertical="center"/>
    </xf>
    <xf numFmtId="164" fontId="36" fillId="0" borderId="20" xfId="27" applyNumberFormat="1" applyFont="1" applyBorder="1" applyAlignment="1">
      <alignment vertical="center"/>
    </xf>
    <xf numFmtId="4" fontId="37" fillId="0" borderId="2" xfId="27" applyNumberFormat="1" applyFont="1" applyBorder="1" applyAlignment="1">
      <alignment wrapText="1"/>
    </xf>
    <xf numFmtId="4" fontId="37" fillId="2" borderId="2" xfId="27" applyNumberFormat="1" applyFont="1" applyFill="1" applyBorder="1" applyAlignment="1">
      <alignment wrapText="1"/>
    </xf>
    <xf numFmtId="4" fontId="7" fillId="0" borderId="2" xfId="27" applyNumberFormat="1" applyFont="1" applyFill="1" applyBorder="1" applyAlignment="1">
      <alignment vertical="center"/>
    </xf>
    <xf numFmtId="4" fontId="43" fillId="13" borderId="32" xfId="23" applyNumberFormat="1" applyFont="1" applyFill="1" applyBorder="1" applyAlignment="1">
      <alignment vertical="center"/>
    </xf>
    <xf numFmtId="164" fontId="12" fillId="11" borderId="40" xfId="21" applyNumberFormat="1" applyFont="1" applyFill="1" applyBorder="1" applyAlignment="1">
      <alignment vertical="center"/>
    </xf>
    <xf numFmtId="165" fontId="6" fillId="0" borderId="2" xfId="21" applyNumberFormat="1" applyFont="1" applyFill="1" applyBorder="1" applyAlignment="1">
      <alignment horizontal="center" vertical="center" wrapText="1"/>
    </xf>
    <xf numFmtId="164" fontId="57" fillId="0" borderId="65" xfId="21" applyNumberFormat="1" applyFont="1" applyBorder="1" applyAlignment="1">
      <alignment vertical="center"/>
    </xf>
    <xf numFmtId="164" fontId="57" fillId="0" borderId="65" xfId="21" applyNumberFormat="1" applyFont="1" applyBorder="1" applyAlignment="1">
      <alignment vertical="center"/>
    </xf>
    <xf numFmtId="164" fontId="57" fillId="0" borderId="65" xfId="21" applyNumberFormat="1" applyFont="1" applyBorder="1" applyAlignment="1">
      <alignment vertical="center"/>
    </xf>
    <xf numFmtId="168" fontId="11" fillId="11" borderId="43" xfId="21" applyNumberFormat="1" applyFont="1" applyFill="1" applyBorder="1" applyAlignment="1">
      <alignment horizontal="right" vertical="center"/>
    </xf>
    <xf numFmtId="164" fontId="11" fillId="11" borderId="2" xfId="21" applyNumberFormat="1" applyFont="1" applyFill="1" applyBorder="1" applyAlignment="1">
      <alignment vertical="center"/>
    </xf>
    <xf numFmtId="4" fontId="10" fillId="0" borderId="44" xfId="21" applyNumberFormat="1" applyFont="1" applyBorder="1" applyAlignment="1">
      <alignment vertical="center"/>
    </xf>
    <xf numFmtId="164" fontId="10" fillId="0" borderId="4" xfId="21" applyNumberFormat="1" applyFont="1" applyBorder="1" applyAlignment="1">
      <alignment vertical="center"/>
    </xf>
    <xf numFmtId="4" fontId="55" fillId="0" borderId="64" xfId="21" applyNumberFormat="1" applyFont="1" applyFill="1" applyBorder="1" applyAlignment="1">
      <alignment vertical="center"/>
    </xf>
    <xf numFmtId="4" fontId="37" fillId="2" borderId="2" xfId="21" applyNumberFormat="1" applyFont="1" applyFill="1" applyBorder="1" applyAlignment="1">
      <alignment wrapText="1"/>
    </xf>
    <xf numFmtId="4" fontId="36" fillId="0" borderId="2" xfId="27" applyNumberFormat="1" applyFont="1" applyFill="1" applyBorder="1"/>
    <xf numFmtId="4" fontId="36" fillId="0" borderId="64" xfId="27" applyNumberFormat="1" applyFont="1" applyFill="1" applyBorder="1" applyAlignment="1">
      <alignment vertical="center"/>
    </xf>
    <xf numFmtId="4" fontId="53" fillId="0" borderId="64" xfId="27" applyNumberFormat="1" applyFont="1" applyFill="1" applyBorder="1"/>
    <xf numFmtId="4" fontId="58" fillId="0" borderId="2" xfId="21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vertical="center"/>
    </xf>
    <xf numFmtId="4" fontId="36" fillId="2" borderId="2" xfId="0" applyNumberFormat="1" applyFont="1" applyFill="1" applyBorder="1"/>
    <xf numFmtId="164" fontId="36" fillId="0" borderId="70" xfId="27" applyNumberFormat="1" applyFont="1" applyFill="1" applyBorder="1" applyAlignment="1">
      <alignment vertical="center"/>
    </xf>
    <xf numFmtId="4" fontId="36" fillId="0" borderId="2" xfId="0" applyNumberFormat="1" applyFont="1" applyFill="1" applyBorder="1"/>
    <xf numFmtId="4" fontId="36" fillId="2" borderId="64" xfId="0" applyNumberFormat="1" applyFont="1" applyFill="1" applyBorder="1" applyAlignment="1">
      <alignment vertical="center"/>
    </xf>
    <xf numFmtId="4" fontId="7" fillId="5" borderId="2" xfId="27" applyNumberFormat="1" applyFont="1" applyFill="1" applyBorder="1" applyAlignment="1">
      <alignment vertical="center"/>
    </xf>
    <xf numFmtId="0" fontId="40" fillId="0" borderId="39" xfId="0" applyFont="1" applyBorder="1"/>
    <xf numFmtId="4" fontId="53" fillId="10" borderId="0" xfId="0" applyNumberFormat="1" applyFont="1" applyFill="1" applyBorder="1"/>
    <xf numFmtId="164" fontId="36" fillId="0" borderId="69" xfId="27" applyNumberFormat="1" applyFont="1" applyBorder="1" applyAlignment="1">
      <alignment vertical="center"/>
    </xf>
    <xf numFmtId="164" fontId="36" fillId="0" borderId="70" xfId="27" applyNumberFormat="1" applyFont="1" applyBorder="1" applyAlignment="1">
      <alignment vertical="center"/>
    </xf>
    <xf numFmtId="164" fontId="36" fillId="0" borderId="4" xfId="27" applyNumberFormat="1" applyFont="1" applyBorder="1" applyAlignment="1">
      <alignment vertical="center"/>
    </xf>
    <xf numFmtId="164" fontId="36" fillId="0" borderId="20" xfId="27" applyNumberFormat="1" applyFont="1" applyBorder="1" applyAlignment="1">
      <alignment vertical="center"/>
    </xf>
    <xf numFmtId="164" fontId="57" fillId="0" borderId="65" xfId="27" applyNumberFormat="1" applyFont="1" applyBorder="1" applyAlignment="1">
      <alignment vertical="center"/>
    </xf>
    <xf numFmtId="4" fontId="37" fillId="0" borderId="61" xfId="27" applyNumberFormat="1" applyFont="1" applyBorder="1" applyAlignment="1">
      <alignment wrapText="1"/>
    </xf>
    <xf numFmtId="4" fontId="37" fillId="0" borderId="62" xfId="27" applyNumberFormat="1" applyFont="1" applyBorder="1" applyAlignment="1">
      <alignment wrapText="1"/>
    </xf>
    <xf numFmtId="4" fontId="53" fillId="10" borderId="64" xfId="27" applyNumberFormat="1" applyFont="1" applyFill="1" applyBorder="1"/>
    <xf numFmtId="4" fontId="53" fillId="10" borderId="64" xfId="27" applyNumberFormat="1" applyFont="1" applyFill="1" applyBorder="1"/>
    <xf numFmtId="4" fontId="53" fillId="10" borderId="64" xfId="27" applyNumberFormat="1" applyFont="1" applyFill="1" applyBorder="1"/>
    <xf numFmtId="4" fontId="36" fillId="12" borderId="64" xfId="27" applyNumberFormat="1" applyFont="1" applyFill="1" applyBorder="1" applyAlignment="1">
      <alignment vertical="center"/>
    </xf>
    <xf numFmtId="4" fontId="36" fillId="2" borderId="2" xfId="27" applyNumberFormat="1" applyFont="1" applyFill="1" applyBorder="1"/>
    <xf numFmtId="4" fontId="36" fillId="2" borderId="64" xfId="27" applyNumberFormat="1" applyFont="1" applyFill="1" applyBorder="1" applyAlignment="1">
      <alignment vertical="center"/>
    </xf>
    <xf numFmtId="165" fontId="6" fillId="0" borderId="4" xfId="27" applyNumberFormat="1" applyFont="1" applyFill="1" applyBorder="1" applyAlignment="1">
      <alignment horizontal="center" vertical="center" wrapText="1"/>
    </xf>
    <xf numFmtId="165" fontId="6" fillId="0" borderId="20" xfId="27" applyNumberFormat="1" applyFont="1" applyFill="1" applyBorder="1" applyAlignment="1">
      <alignment horizontal="center" vertical="center" wrapText="1"/>
    </xf>
    <xf numFmtId="165" fontId="6" fillId="0" borderId="0" xfId="27" applyNumberFormat="1" applyFont="1" applyFill="1" applyBorder="1" applyAlignment="1">
      <alignment horizontal="center" vertical="center" wrapText="1"/>
    </xf>
    <xf numFmtId="2" fontId="40" fillId="0" borderId="35" xfId="0" applyNumberFormat="1" applyFont="1" applyBorder="1"/>
    <xf numFmtId="167" fontId="46" fillId="0" borderId="13" xfId="0" applyNumberFormat="1" applyFont="1" applyBorder="1" applyAlignment="1">
      <alignment wrapText="1"/>
    </xf>
    <xf numFmtId="167" fontId="46" fillId="0" borderId="3" xfId="0" applyNumberFormat="1" applyFont="1" applyBorder="1" applyAlignment="1">
      <alignment wrapText="1"/>
    </xf>
    <xf numFmtId="167" fontId="46" fillId="0" borderId="45" xfId="0" applyNumberFormat="1" applyFont="1" applyBorder="1" applyAlignment="1">
      <alignment wrapText="1"/>
    </xf>
    <xf numFmtId="0" fontId="43" fillId="0" borderId="38" xfId="0" applyFont="1" applyFill="1" applyBorder="1"/>
    <xf numFmtId="0" fontId="43" fillId="0" borderId="4" xfId="0" applyFont="1" applyFill="1" applyBorder="1"/>
    <xf numFmtId="0" fontId="43" fillId="8" borderId="4" xfId="0" applyFont="1" applyFill="1" applyBorder="1"/>
    <xf numFmtId="167" fontId="43" fillId="0" borderId="38" xfId="0" applyNumberFormat="1" applyFont="1" applyFill="1" applyBorder="1" applyAlignment="1">
      <alignment horizontal="right" vertical="center" wrapText="1"/>
    </xf>
    <xf numFmtId="2" fontId="40" fillId="0" borderId="0" xfId="0" applyNumberFormat="1" applyFont="1" applyBorder="1"/>
    <xf numFmtId="2" fontId="46" fillId="0" borderId="46" xfId="23" applyNumberFormat="1" applyFont="1" applyFill="1" applyBorder="1" applyAlignment="1">
      <alignment horizontal="center" vertical="center" wrapText="1"/>
    </xf>
    <xf numFmtId="2" fontId="46" fillId="0" borderId="0" xfId="23" applyNumberFormat="1" applyFont="1" applyFill="1" applyBorder="1" applyAlignment="1">
      <alignment horizontal="center" vertical="center" wrapText="1"/>
    </xf>
    <xf numFmtId="2" fontId="46" fillId="5" borderId="35" xfId="23" applyNumberFormat="1" applyFont="1" applyFill="1" applyBorder="1" applyAlignment="1">
      <alignment horizontal="center" vertical="center" wrapText="1"/>
    </xf>
    <xf numFmtId="2" fontId="46" fillId="0" borderId="35" xfId="23" applyNumberFormat="1" applyFont="1" applyFill="1" applyBorder="1" applyAlignment="1">
      <alignment horizontal="center" vertical="center" wrapText="1"/>
    </xf>
    <xf numFmtId="2" fontId="46" fillId="0" borderId="4" xfId="23" applyNumberFormat="1" applyFont="1" applyFill="1" applyBorder="1" applyAlignment="1">
      <alignment horizontal="center" vertical="center" wrapText="1"/>
    </xf>
    <xf numFmtId="2" fontId="46" fillId="5" borderId="4" xfId="23" applyNumberFormat="1" applyFont="1" applyFill="1" applyBorder="1" applyAlignment="1">
      <alignment horizontal="center" vertical="center" wrapText="1"/>
    </xf>
    <xf numFmtId="4" fontId="40" fillId="0" borderId="3" xfId="0" applyNumberFormat="1" applyFont="1" applyBorder="1" applyAlignment="1"/>
    <xf numFmtId="165" fontId="40" fillId="0" borderId="0" xfId="0" applyNumberFormat="1" applyFont="1"/>
    <xf numFmtId="0" fontId="56" fillId="5" borderId="41" xfId="0" applyFont="1" applyFill="1" applyBorder="1" applyAlignment="1">
      <alignment horizontal="center" vertical="center" wrapText="1"/>
    </xf>
    <xf numFmtId="4" fontId="53" fillId="14" borderId="0" xfId="0" applyNumberFormat="1" applyFont="1" applyFill="1" applyBorder="1"/>
    <xf numFmtId="4" fontId="53" fillId="14" borderId="0" xfId="27" applyNumberFormat="1" applyFont="1" applyFill="1" applyBorder="1"/>
    <xf numFmtId="2" fontId="46" fillId="5" borderId="0" xfId="23" applyNumberFormat="1" applyFont="1" applyFill="1" applyBorder="1" applyAlignment="1">
      <alignment horizontal="center" vertical="center" wrapText="1"/>
    </xf>
    <xf numFmtId="164" fontId="57" fillId="15" borderId="65" xfId="0" applyNumberFormat="1" applyFont="1" applyFill="1" applyBorder="1" applyAlignment="1">
      <alignment vertical="center"/>
    </xf>
    <xf numFmtId="165" fontId="6" fillId="15" borderId="2" xfId="0" applyNumberFormat="1" applyFont="1" applyFill="1" applyBorder="1" applyAlignment="1">
      <alignment horizontal="center" vertical="center" wrapText="1"/>
    </xf>
    <xf numFmtId="164" fontId="36" fillId="2" borderId="69" xfId="27" applyNumberFormat="1" applyFont="1" applyFill="1" applyBorder="1" applyAlignment="1">
      <alignment vertical="center"/>
    </xf>
    <xf numFmtId="4" fontId="38" fillId="0" borderId="0" xfId="0" applyNumberFormat="1" applyFont="1" applyFill="1" applyBorder="1" applyAlignment="1">
      <alignment wrapText="1"/>
    </xf>
    <xf numFmtId="0" fontId="43" fillId="8" borderId="0" xfId="0" applyFont="1" applyFill="1" applyBorder="1"/>
    <xf numFmtId="4" fontId="55" fillId="2" borderId="64" xfId="0" applyNumberFormat="1" applyFont="1" applyFill="1" applyBorder="1" applyAlignment="1">
      <alignment vertical="center"/>
    </xf>
    <xf numFmtId="169" fontId="44" fillId="2" borderId="8" xfId="0" applyNumberFormat="1" applyFont="1" applyFill="1" applyBorder="1" applyAlignment="1"/>
    <xf numFmtId="169" fontId="44" fillId="2" borderId="5" xfId="0" applyNumberFormat="1" applyFont="1" applyFill="1" applyBorder="1" applyAlignment="1"/>
    <xf numFmtId="169" fontId="40" fillId="0" borderId="5" xfId="0" applyNumberFormat="1" applyFont="1" applyBorder="1"/>
    <xf numFmtId="169" fontId="44" fillId="2" borderId="7" xfId="0" applyNumberFormat="1" applyFont="1" applyFill="1" applyBorder="1" applyAlignment="1"/>
    <xf numFmtId="169" fontId="6" fillId="15" borderId="2" xfId="0" applyNumberFormat="1" applyFont="1" applyFill="1" applyBorder="1" applyAlignment="1">
      <alignment horizontal="center" vertical="center" wrapText="1"/>
    </xf>
    <xf numFmtId="169" fontId="59" fillId="0" borderId="2" xfId="29" applyNumberFormat="1" applyFont="1" applyBorder="1" applyAlignment="1">
      <alignment horizontal="center" vertical="center" wrapText="1"/>
    </xf>
    <xf numFmtId="164" fontId="36" fillId="0" borderId="69" xfId="29" applyNumberFormat="1" applyFont="1" applyBorder="1" applyAlignment="1">
      <alignment vertical="center"/>
    </xf>
    <xf numFmtId="164" fontId="36" fillId="0" borderId="70" xfId="29" applyNumberFormat="1" applyFont="1" applyBorder="1" applyAlignment="1">
      <alignment vertical="center"/>
    </xf>
    <xf numFmtId="164" fontId="36" fillId="0" borderId="4" xfId="29" applyNumberFormat="1" applyFont="1" applyBorder="1" applyAlignment="1">
      <alignment vertical="center"/>
    </xf>
    <xf numFmtId="164" fontId="36" fillId="0" borderId="20" xfId="29" applyNumberFormat="1" applyFont="1" applyBorder="1" applyAlignment="1">
      <alignment vertical="center"/>
    </xf>
    <xf numFmtId="169" fontId="6" fillId="0" borderId="2" xfId="29" applyNumberFormat="1" applyFont="1" applyFill="1" applyBorder="1" applyAlignment="1">
      <alignment horizontal="center" vertical="center" wrapText="1"/>
    </xf>
    <xf numFmtId="164" fontId="57" fillId="0" borderId="65" xfId="29" applyNumberFormat="1" applyFont="1" applyBorder="1" applyAlignment="1">
      <alignment vertical="center"/>
    </xf>
    <xf numFmtId="164" fontId="57" fillId="0" borderId="65" xfId="29" applyNumberFormat="1" applyFont="1" applyBorder="1" applyAlignment="1">
      <alignment vertical="center"/>
    </xf>
    <xf numFmtId="4" fontId="37" fillId="0" borderId="61" xfId="29" applyNumberFormat="1" applyFont="1" applyBorder="1" applyAlignment="1">
      <alignment wrapText="1"/>
    </xf>
    <xf numFmtId="169" fontId="43" fillId="0" borderId="27" xfId="0" applyNumberFormat="1" applyFont="1" applyFill="1" applyBorder="1"/>
    <xf numFmtId="169" fontId="43" fillId="0" borderId="5" xfId="0" applyNumberFormat="1" applyFont="1" applyFill="1" applyBorder="1"/>
    <xf numFmtId="169" fontId="6" fillId="0" borderId="2" xfId="29" applyNumberFormat="1" applyFont="1" applyFill="1" applyBorder="1" applyAlignment="1">
      <alignment horizontal="center" vertical="center"/>
    </xf>
    <xf numFmtId="169" fontId="40" fillId="0" borderId="28" xfId="0" applyNumberFormat="1" applyFont="1" applyBorder="1"/>
    <xf numFmtId="169" fontId="44" fillId="2" borderId="29" xfId="0" applyNumberFormat="1" applyFont="1" applyFill="1" applyBorder="1" applyAlignment="1"/>
    <xf numFmtId="169" fontId="46" fillId="0" borderId="33" xfId="23" applyNumberFormat="1" applyFont="1" applyFill="1" applyBorder="1" applyAlignment="1">
      <alignment horizontal="center" vertical="center" wrapText="1"/>
    </xf>
    <xf numFmtId="169" fontId="46" fillId="0" borderId="5" xfId="23" applyNumberFormat="1" applyFont="1" applyFill="1" applyBorder="1" applyAlignment="1">
      <alignment horizontal="center" vertical="center" wrapText="1"/>
    </xf>
    <xf numFmtId="169" fontId="46" fillId="5" borderId="5" xfId="23" applyNumberFormat="1" applyFont="1" applyFill="1" applyBorder="1" applyAlignment="1">
      <alignment horizontal="center" vertical="center" wrapText="1"/>
    </xf>
    <xf numFmtId="169" fontId="44" fillId="2" borderId="36" xfId="0" applyNumberFormat="1" applyFont="1" applyFill="1" applyBorder="1" applyAlignment="1">
      <alignment horizontal="right"/>
    </xf>
    <xf numFmtId="169" fontId="40" fillId="0" borderId="21" xfId="0" applyNumberFormat="1" applyFont="1" applyBorder="1" applyAlignment="1"/>
    <xf numFmtId="169" fontId="40" fillId="0" borderId="16" xfId="0" applyNumberFormat="1" applyFont="1" applyBorder="1" applyAlignment="1"/>
    <xf numFmtId="169" fontId="40" fillId="0" borderId="37" xfId="0" applyNumberFormat="1" applyFont="1" applyBorder="1" applyAlignment="1"/>
    <xf numFmtId="169" fontId="51" fillId="3" borderId="15" xfId="0" applyNumberFormat="1" applyFont="1" applyFill="1" applyBorder="1" applyAlignment="1"/>
    <xf numFmtId="169" fontId="40" fillId="0" borderId="0" xfId="0" applyNumberFormat="1" applyFont="1"/>
    <xf numFmtId="169" fontId="41" fillId="4" borderId="2" xfId="0" applyNumberFormat="1" applyFont="1" applyFill="1" applyBorder="1" applyAlignment="1">
      <alignment horizontal="center" vertical="center" wrapText="1"/>
    </xf>
    <xf numFmtId="164" fontId="12" fillId="11" borderId="40" xfId="21" applyNumberFormat="1" applyFont="1" applyFill="1" applyBorder="1" applyAlignment="1">
      <alignment vertical="center"/>
    </xf>
    <xf numFmtId="4" fontId="37" fillId="2" borderId="62" xfId="0" applyNumberFormat="1" applyFont="1" applyFill="1" applyBorder="1" applyAlignment="1">
      <alignment wrapText="1"/>
    </xf>
    <xf numFmtId="4" fontId="58" fillId="0" borderId="2" xfId="0" applyNumberFormat="1" applyFont="1" applyFill="1" applyBorder="1" applyAlignment="1">
      <alignment horizontal="center" vertical="center" wrapText="1"/>
    </xf>
    <xf numFmtId="4" fontId="43" fillId="5" borderId="32" xfId="23" applyNumberFormat="1" applyFont="1" applyFill="1" applyBorder="1" applyAlignment="1">
      <alignment vertical="center"/>
    </xf>
    <xf numFmtId="169" fontId="46" fillId="5" borderId="33" xfId="23" applyNumberFormat="1" applyFont="1" applyFill="1" applyBorder="1" applyAlignment="1">
      <alignment horizontal="center" vertical="center" wrapText="1"/>
    </xf>
    <xf numFmtId="4" fontId="53" fillId="0" borderId="64" xfId="29" applyNumberFormat="1" applyFont="1" applyFill="1" applyBorder="1"/>
    <xf numFmtId="4" fontId="53" fillId="0" borderId="64" xfId="0" applyNumberFormat="1" applyFont="1" applyFill="1" applyBorder="1"/>
    <xf numFmtId="4" fontId="36" fillId="0" borderId="64" xfId="29" applyNumberFormat="1" applyFont="1" applyFill="1" applyBorder="1" applyAlignment="1">
      <alignment vertical="center"/>
    </xf>
    <xf numFmtId="4" fontId="36" fillId="0" borderId="64" xfId="0" applyNumberFormat="1" applyFont="1" applyFill="1" applyBorder="1" applyAlignment="1">
      <alignment vertical="center"/>
    </xf>
    <xf numFmtId="4" fontId="36" fillId="0" borderId="2" xfId="29" applyNumberFormat="1" applyFont="1" applyFill="1" applyBorder="1"/>
    <xf numFmtId="4" fontId="60" fillId="0" borderId="63" xfId="0" applyNumberFormat="1" applyFont="1" applyFill="1" applyBorder="1"/>
    <xf numFmtId="4" fontId="60" fillId="0" borderId="64" xfId="0" applyNumberFormat="1" applyFont="1" applyFill="1" applyBorder="1" applyAlignment="1">
      <alignment vertical="center"/>
    </xf>
    <xf numFmtId="4" fontId="60" fillId="0" borderId="65" xfId="0" applyNumberFormat="1" applyFont="1" applyFill="1" applyBorder="1" applyAlignment="1">
      <alignment vertical="center"/>
    </xf>
    <xf numFmtId="4" fontId="61" fillId="0" borderId="10" xfId="23" applyNumberFormat="1" applyFont="1" applyFill="1" applyBorder="1" applyAlignment="1">
      <alignment vertical="center"/>
    </xf>
    <xf numFmtId="4" fontId="62" fillId="0" borderId="64" xfId="0" applyNumberFormat="1" applyFont="1" applyFill="1" applyBorder="1"/>
    <xf numFmtId="4" fontId="63" fillId="0" borderId="64" xfId="0" applyNumberFormat="1" applyFont="1" applyFill="1" applyBorder="1" applyAlignment="1">
      <alignment vertical="center"/>
    </xf>
    <xf numFmtId="4" fontId="64" fillId="0" borderId="2" xfId="0" applyNumberFormat="1" applyFont="1" applyFill="1" applyBorder="1" applyAlignment="1">
      <alignment vertical="center"/>
    </xf>
    <xf numFmtId="4" fontId="0" fillId="0" borderId="16" xfId="0" applyNumberFormat="1" applyBorder="1"/>
    <xf numFmtId="2" fontId="65" fillId="2" borderId="5" xfId="0" applyNumberFormat="1" applyFont="1" applyFill="1" applyBorder="1" applyAlignment="1">
      <alignment shrinkToFit="1"/>
    </xf>
    <xf numFmtId="0" fontId="41" fillId="0" borderId="47" xfId="21" applyFont="1" applyFill="1" applyBorder="1" applyAlignment="1">
      <alignment horizontal="center" vertical="center" wrapText="1"/>
    </xf>
    <xf numFmtId="164" fontId="36" fillId="0" borderId="0" xfId="29" applyNumberFormat="1" applyFont="1" applyBorder="1" applyAlignment="1">
      <alignment vertical="center"/>
    </xf>
    <xf numFmtId="169" fontId="6" fillId="0" borderId="4" xfId="29" applyNumberFormat="1" applyFont="1" applyFill="1" applyBorder="1" applyAlignment="1">
      <alignment horizontal="center" vertical="center" wrapText="1"/>
    </xf>
    <xf numFmtId="164" fontId="36" fillId="2" borderId="0" xfId="29" applyNumberFormat="1" applyFont="1" applyFill="1" applyBorder="1" applyAlignment="1">
      <alignment vertical="center"/>
    </xf>
    <xf numFmtId="169" fontId="6" fillId="2" borderId="4" xfId="29" applyNumberFormat="1" applyFont="1" applyFill="1" applyBorder="1" applyAlignment="1">
      <alignment horizontal="center" vertical="center" wrapText="1"/>
    </xf>
    <xf numFmtId="164" fontId="36" fillId="2" borderId="20" xfId="29" applyNumberFormat="1" applyFont="1" applyFill="1" applyBorder="1" applyAlignment="1">
      <alignment vertical="center"/>
    </xf>
    <xf numFmtId="169" fontId="6" fillId="2" borderId="2" xfId="29" applyNumberFormat="1" applyFont="1" applyFill="1" applyBorder="1" applyAlignment="1">
      <alignment horizontal="center" vertical="center" wrapText="1"/>
    </xf>
    <xf numFmtId="164" fontId="36" fillId="2" borderId="69" xfId="29" applyNumberFormat="1" applyFont="1" applyFill="1" applyBorder="1" applyAlignment="1">
      <alignment vertical="center"/>
    </xf>
    <xf numFmtId="4" fontId="66" fillId="0" borderId="63" xfId="0" applyNumberFormat="1" applyFont="1" applyFill="1" applyBorder="1"/>
    <xf numFmtId="4" fontId="66" fillId="0" borderId="64" xfId="0" applyNumberFormat="1" applyFont="1" applyFill="1" applyBorder="1" applyAlignment="1">
      <alignment vertical="center"/>
    </xf>
    <xf numFmtId="4" fontId="66" fillId="0" borderId="65" xfId="0" applyNumberFormat="1" applyFont="1" applyFill="1" applyBorder="1" applyAlignment="1">
      <alignment vertical="center"/>
    </xf>
    <xf numFmtId="4" fontId="67" fillId="0" borderId="10" xfId="23" applyNumberFormat="1" applyFont="1" applyFill="1" applyBorder="1" applyAlignment="1">
      <alignment vertical="center"/>
    </xf>
    <xf numFmtId="4" fontId="68" fillId="10" borderId="64" xfId="0" applyNumberFormat="1" applyFont="1" applyFill="1" applyBorder="1"/>
    <xf numFmtId="4" fontId="66" fillId="12" borderId="64" xfId="0" applyNumberFormat="1" applyFont="1" applyFill="1" applyBorder="1" applyAlignment="1">
      <alignment vertical="center"/>
    </xf>
    <xf numFmtId="4" fontId="68" fillId="0" borderId="64" xfId="0" applyNumberFormat="1" applyFont="1" applyFill="1" applyBorder="1"/>
    <xf numFmtId="4" fontId="69" fillId="0" borderId="2" xfId="0" applyNumberFormat="1" applyFont="1" applyFill="1" applyBorder="1" applyAlignment="1">
      <alignment vertical="center"/>
    </xf>
    <xf numFmtId="164" fontId="36" fillId="0" borderId="20" xfId="29" applyNumberFormat="1" applyFont="1" applyFill="1" applyBorder="1" applyAlignment="1">
      <alignment vertical="center"/>
    </xf>
    <xf numFmtId="164" fontId="36" fillId="0" borderId="69" xfId="29" applyNumberFormat="1" applyFont="1" applyFill="1" applyBorder="1" applyAlignment="1">
      <alignment vertical="center"/>
    </xf>
    <xf numFmtId="164" fontId="36" fillId="0" borderId="70" xfId="29" applyNumberFormat="1" applyFont="1" applyFill="1" applyBorder="1" applyAlignment="1">
      <alignment vertical="center"/>
    </xf>
    <xf numFmtId="164" fontId="36" fillId="0" borderId="0" xfId="29" applyNumberFormat="1" applyFont="1" applyFill="1" applyBorder="1" applyAlignment="1">
      <alignment vertical="center"/>
    </xf>
    <xf numFmtId="4" fontId="69" fillId="5" borderId="2" xfId="0" applyNumberFormat="1" applyFont="1" applyFill="1" applyBorder="1" applyAlignment="1">
      <alignment vertical="center"/>
    </xf>
    <xf numFmtId="165" fontId="6" fillId="0" borderId="2" xfId="29" applyNumberFormat="1" applyFont="1" applyFill="1" applyBorder="1" applyAlignment="1">
      <alignment horizontal="center" vertical="center" wrapText="1"/>
    </xf>
    <xf numFmtId="164" fontId="36" fillId="0" borderId="69" xfId="29" applyNumberFormat="1" applyFont="1" applyBorder="1" applyAlignment="1">
      <alignment vertical="center"/>
    </xf>
    <xf numFmtId="164" fontId="36" fillId="0" borderId="70" xfId="29" applyNumberFormat="1" applyFont="1" applyBorder="1" applyAlignment="1">
      <alignment vertical="center"/>
    </xf>
    <xf numFmtId="164" fontId="36" fillId="0" borderId="4" xfId="29" applyNumberFormat="1" applyFont="1" applyBorder="1" applyAlignment="1">
      <alignment vertical="center"/>
    </xf>
    <xf numFmtId="164" fontId="57" fillId="0" borderId="65" xfId="29" applyNumberFormat="1" applyFont="1" applyBorder="1" applyAlignment="1">
      <alignment vertical="center"/>
    </xf>
    <xf numFmtId="165" fontId="6" fillId="2" borderId="2" xfId="29" applyNumberFormat="1" applyFont="1" applyFill="1" applyBorder="1" applyAlignment="1">
      <alignment horizontal="center" vertical="center" wrapText="1"/>
    </xf>
    <xf numFmtId="4" fontId="70" fillId="10" borderId="65" xfId="0" applyNumberFormat="1" applyFont="1" applyFill="1" applyBorder="1"/>
    <xf numFmtId="4" fontId="71" fillId="10" borderId="64" xfId="0" applyNumberFormat="1" applyFont="1" applyFill="1" applyBorder="1"/>
    <xf numFmtId="4" fontId="72" fillId="0" borderId="2" xfId="0" applyNumberFormat="1" applyFont="1" applyFill="1" applyBorder="1" applyAlignment="1">
      <alignment vertical="center"/>
    </xf>
    <xf numFmtId="4" fontId="73" fillId="12" borderId="64" xfId="0" applyNumberFormat="1" applyFont="1" applyFill="1" applyBorder="1" applyAlignment="1">
      <alignment vertical="center"/>
    </xf>
    <xf numFmtId="4" fontId="74" fillId="0" borderId="61" xfId="0" applyNumberFormat="1" applyFont="1" applyBorder="1" applyAlignment="1">
      <alignment wrapText="1"/>
    </xf>
    <xf numFmtId="4" fontId="70" fillId="10" borderId="64" xfId="0" applyNumberFormat="1" applyFont="1" applyFill="1" applyBorder="1"/>
    <xf numFmtId="4" fontId="26" fillId="12" borderId="64" xfId="0" applyNumberFormat="1" applyFont="1" applyFill="1" applyBorder="1" applyAlignment="1">
      <alignment vertical="center"/>
    </xf>
    <xf numFmtId="4" fontId="26" fillId="2" borderId="60" xfId="0" applyNumberFormat="1" applyFont="1" applyFill="1" applyBorder="1"/>
    <xf numFmtId="4" fontId="26" fillId="2" borderId="65" xfId="0" applyNumberFormat="1" applyFont="1" applyFill="1" applyBorder="1" applyAlignment="1">
      <alignment vertical="center"/>
    </xf>
    <xf numFmtId="4" fontId="70" fillId="10" borderId="64" xfId="0" applyNumberFormat="1" applyFont="1" applyFill="1" applyBorder="1" applyAlignment="1">
      <alignment vertical="center"/>
    </xf>
    <xf numFmtId="164" fontId="36" fillId="0" borderId="4" xfId="29" applyNumberFormat="1" applyFont="1" applyFill="1" applyBorder="1" applyAlignment="1">
      <alignment vertical="center"/>
    </xf>
    <xf numFmtId="4" fontId="70" fillId="0" borderId="64" xfId="0" applyNumberFormat="1" applyFont="1" applyFill="1" applyBorder="1" applyAlignment="1">
      <alignment vertical="center"/>
    </xf>
    <xf numFmtId="164" fontId="36" fillId="2" borderId="70" xfId="29" applyNumberFormat="1" applyFont="1" applyFill="1" applyBorder="1" applyAlignment="1">
      <alignment vertical="center"/>
    </xf>
    <xf numFmtId="164" fontId="36" fillId="16" borderId="69" xfId="29" applyNumberFormat="1" applyFont="1" applyFill="1" applyBorder="1" applyAlignment="1">
      <alignment vertical="center"/>
    </xf>
    <xf numFmtId="165" fontId="6" fillId="16" borderId="2" xfId="29" applyNumberFormat="1" applyFont="1" applyFill="1" applyBorder="1" applyAlignment="1">
      <alignment horizontal="center" vertical="center" wrapText="1"/>
    </xf>
    <xf numFmtId="164" fontId="57" fillId="2" borderId="65" xfId="0" applyNumberFormat="1" applyFont="1" applyFill="1" applyBorder="1" applyAlignment="1">
      <alignment vertical="center"/>
    </xf>
    <xf numFmtId="4" fontId="73" fillId="2" borderId="60" xfId="0" applyNumberFormat="1" applyFont="1" applyFill="1" applyBorder="1"/>
    <xf numFmtId="4" fontId="73" fillId="2" borderId="65" xfId="0" applyNumberFormat="1" applyFont="1" applyFill="1" applyBorder="1" applyAlignment="1">
      <alignment vertical="center"/>
    </xf>
    <xf numFmtId="4" fontId="71" fillId="10" borderId="64" xfId="0" applyNumberFormat="1" applyFont="1" applyFill="1" applyBorder="1" applyAlignment="1">
      <alignment vertical="center"/>
    </xf>
    <xf numFmtId="4" fontId="71" fillId="0" borderId="64" xfId="0" applyNumberFormat="1" applyFont="1" applyFill="1" applyBorder="1" applyAlignment="1">
      <alignment vertical="center"/>
    </xf>
    <xf numFmtId="4" fontId="61" fillId="0" borderId="32" xfId="23" applyNumberFormat="1" applyFont="1" applyFill="1" applyBorder="1" applyAlignment="1">
      <alignment vertical="center"/>
    </xf>
    <xf numFmtId="4" fontId="61" fillId="5" borderId="32" xfId="23" applyNumberFormat="1" applyFont="1" applyFill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4" fontId="75" fillId="0" borderId="2" xfId="0" applyNumberFormat="1" applyFont="1" applyFill="1" applyBorder="1" applyAlignment="1">
      <alignment vertical="center"/>
    </xf>
    <xf numFmtId="4" fontId="26" fillId="0" borderId="65" xfId="0" applyNumberFormat="1" applyFont="1" applyFill="1" applyBorder="1" applyAlignment="1">
      <alignment vertical="center"/>
    </xf>
    <xf numFmtId="4" fontId="26" fillId="0" borderId="64" xfId="0" applyNumberFormat="1" applyFont="1" applyFill="1" applyBorder="1" applyAlignment="1">
      <alignment vertical="center"/>
    </xf>
    <xf numFmtId="4" fontId="70" fillId="17" borderId="64" xfId="0" applyNumberFormat="1" applyFont="1" applyFill="1" applyBorder="1" applyAlignment="1">
      <alignment vertical="center"/>
    </xf>
    <xf numFmtId="2" fontId="43" fillId="0" borderId="10" xfId="0" applyNumberFormat="1" applyFont="1" applyBorder="1"/>
    <xf numFmtId="2" fontId="76" fillId="2" borderId="8" xfId="0" applyNumberFormat="1" applyFont="1" applyFill="1" applyBorder="1" applyAlignment="1"/>
    <xf numFmtId="2" fontId="43" fillId="0" borderId="12" xfId="0" applyNumberFormat="1" applyFont="1" applyBorder="1" applyAlignment="1"/>
    <xf numFmtId="2" fontId="76" fillId="2" borderId="29" xfId="0" applyNumberFormat="1" applyFont="1" applyFill="1" applyBorder="1" applyAlignment="1"/>
    <xf numFmtId="4" fontId="35" fillId="5" borderId="32" xfId="23" applyNumberFormat="1" applyFont="1" applyFill="1" applyBorder="1" applyAlignment="1">
      <alignment vertical="center"/>
    </xf>
    <xf numFmtId="2" fontId="76" fillId="2" borderId="36" xfId="0" applyNumberFormat="1" applyFont="1" applyFill="1" applyBorder="1" applyAlignment="1">
      <alignment horizontal="right"/>
    </xf>
    <xf numFmtId="2" fontId="43" fillId="0" borderId="13" xfId="0" applyNumberFormat="1" applyFont="1" applyBorder="1" applyAlignment="1"/>
    <xf numFmtId="2" fontId="43" fillId="0" borderId="3" xfId="0" applyNumberFormat="1" applyFont="1" applyBorder="1" applyAlignment="1"/>
    <xf numFmtId="2" fontId="43" fillId="0" borderId="14" xfId="0" applyNumberFormat="1" applyFont="1" applyBorder="1" applyAlignment="1"/>
    <xf numFmtId="165" fontId="76" fillId="3" borderId="15" xfId="0" applyNumberFormat="1" applyFont="1" applyFill="1" applyBorder="1" applyAlignment="1"/>
    <xf numFmtId="2" fontId="43" fillId="0" borderId="0" xfId="0" applyNumberFormat="1" applyFont="1"/>
    <xf numFmtId="0" fontId="6" fillId="0" borderId="2" xfId="0" applyFont="1" applyFill="1" applyBorder="1" applyAlignment="1">
      <alignment horizontal="center" vertical="center" wrapText="1"/>
    </xf>
    <xf numFmtId="0" fontId="59" fillId="0" borderId="66" xfId="0" applyFont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7" fillId="0" borderId="66" xfId="0" applyFont="1" applyBorder="1" applyAlignment="1">
      <alignment horizontal="center" vertical="center" wrapText="1"/>
    </xf>
    <xf numFmtId="4" fontId="78" fillId="0" borderId="64" xfId="0" applyNumberFormat="1" applyFont="1" applyFill="1" applyBorder="1" applyAlignment="1">
      <alignment vertical="center"/>
    </xf>
    <xf numFmtId="0" fontId="77" fillId="0" borderId="2" xfId="0" applyFont="1" applyFill="1" applyBorder="1" applyAlignment="1">
      <alignment horizontal="center" vertical="center" wrapText="1"/>
    </xf>
    <xf numFmtId="2" fontId="65" fillId="2" borderId="21" xfId="0" applyNumberFormat="1" applyFont="1" applyFill="1" applyBorder="1" applyAlignment="1">
      <alignment shrinkToFit="1"/>
    </xf>
    <xf numFmtId="0" fontId="0" fillId="13" borderId="8" xfId="0" applyNumberFormat="1" applyFill="1" applyBorder="1"/>
    <xf numFmtId="2" fontId="76" fillId="2" borderId="7" xfId="0" applyNumberFormat="1" applyFont="1" applyFill="1" applyBorder="1" applyAlignment="1"/>
    <xf numFmtId="2" fontId="43" fillId="0" borderId="5" xfId="0" applyNumberFormat="1" applyFont="1" applyBorder="1"/>
    <xf numFmtId="2" fontId="43" fillId="0" borderId="9" xfId="0" applyNumberFormat="1" applyFont="1" applyBorder="1" applyAlignment="1">
      <alignment wrapText="1"/>
    </xf>
    <xf numFmtId="2" fontId="43" fillId="0" borderId="10" xfId="0" applyNumberFormat="1" applyFont="1" applyBorder="1" applyAlignment="1">
      <alignment wrapText="1"/>
    </xf>
    <xf numFmtId="2" fontId="43" fillId="0" borderId="11" xfId="0" applyNumberFormat="1" applyFont="1" applyBorder="1" applyAlignment="1">
      <alignment wrapText="1"/>
    </xf>
    <xf numFmtId="2" fontId="43" fillId="0" borderId="28" xfId="0" applyNumberFormat="1" applyFont="1" applyBorder="1"/>
    <xf numFmtId="2" fontId="35" fillId="5" borderId="5" xfId="23" applyNumberFormat="1" applyFont="1" applyFill="1" applyBorder="1" applyAlignment="1">
      <alignment horizontal="center" vertical="center" wrapText="1"/>
    </xf>
    <xf numFmtId="2" fontId="35" fillId="0" borderId="33" xfId="23" applyNumberFormat="1" applyFont="1" applyFill="1" applyBorder="1" applyAlignment="1">
      <alignment horizontal="center" vertical="center" wrapText="1"/>
    </xf>
    <xf numFmtId="2" fontId="35" fillId="5" borderId="32" xfId="23" applyNumberFormat="1" applyFont="1" applyFill="1" applyBorder="1" applyAlignment="1">
      <alignment vertical="center"/>
    </xf>
    <xf numFmtId="2" fontId="35" fillId="5" borderId="33" xfId="23" applyNumberFormat="1" applyFont="1" applyFill="1" applyBorder="1" applyAlignment="1">
      <alignment horizontal="center" vertical="center" wrapText="1"/>
    </xf>
    <xf numFmtId="2" fontId="59" fillId="0" borderId="0" xfId="0" applyNumberFormat="1" applyFont="1" applyAlignment="1">
      <alignment horizontal="center" vertical="center" wrapText="1"/>
    </xf>
    <xf numFmtId="2" fontId="79" fillId="5" borderId="0" xfId="0" applyNumberFormat="1" applyFont="1" applyFill="1" applyAlignment="1">
      <alignment horizontal="center" vertical="center" wrapText="1"/>
    </xf>
    <xf numFmtId="2" fontId="35" fillId="0" borderId="5" xfId="23" applyNumberFormat="1" applyFont="1" applyFill="1" applyBorder="1" applyAlignment="1">
      <alignment horizontal="center" vertical="center" wrapText="1"/>
    </xf>
    <xf numFmtId="2" fontId="43" fillId="0" borderId="21" xfId="0" applyNumberFormat="1" applyFont="1" applyBorder="1" applyAlignment="1"/>
    <xf numFmtId="2" fontId="43" fillId="0" borderId="16" xfId="0" applyNumberFormat="1" applyFont="1" applyBorder="1" applyAlignment="1"/>
    <xf numFmtId="2" fontId="43" fillId="0" borderId="37" xfId="0" applyNumberFormat="1" applyFont="1" applyBorder="1" applyAlignment="1"/>
    <xf numFmtId="2" fontId="76" fillId="3" borderId="15" xfId="0" applyNumberFormat="1" applyFont="1" applyFill="1" applyBorder="1" applyAlignment="1"/>
    <xf numFmtId="165" fontId="76" fillId="2" borderId="16" xfId="0" applyNumberFormat="1" applyFont="1" applyFill="1" applyBorder="1" applyAlignment="1"/>
    <xf numFmtId="4" fontId="78" fillId="18" borderId="71" xfId="0" applyNumberFormat="1" applyFont="1" applyFill="1" applyBorder="1" applyAlignment="1">
      <alignment vertical="center"/>
    </xf>
    <xf numFmtId="0" fontId="40" fillId="0" borderId="2" xfId="0" applyFont="1" applyBorder="1"/>
    <xf numFmtId="0" fontId="40" fillId="0" borderId="19" xfId="0" applyFont="1" applyFill="1" applyBorder="1"/>
    <xf numFmtId="165" fontId="6" fillId="0" borderId="2" xfId="17" applyNumberFormat="1" applyFont="1" applyFill="1" applyBorder="1" applyAlignment="1">
      <alignment horizontal="center" vertical="center" wrapText="1"/>
    </xf>
    <xf numFmtId="165" fontId="6" fillId="0" borderId="18" xfId="17" applyNumberFormat="1" applyFont="1" applyFill="1" applyBorder="1" applyAlignment="1">
      <alignment horizontal="center" vertical="center" wrapText="1"/>
    </xf>
    <xf numFmtId="164" fontId="80" fillId="0" borderId="2" xfId="17" applyNumberFormat="1" applyFont="1" applyBorder="1" applyAlignment="1">
      <alignment vertical="center"/>
    </xf>
    <xf numFmtId="164" fontId="80" fillId="0" borderId="26" xfId="17" applyNumberFormat="1" applyFont="1" applyBorder="1" applyAlignment="1">
      <alignment vertical="center"/>
    </xf>
    <xf numFmtId="164" fontId="80" fillId="0" borderId="53" xfId="17" applyNumberFormat="1" applyFont="1" applyBorder="1" applyAlignment="1">
      <alignment vertical="center"/>
    </xf>
    <xf numFmtId="164" fontId="80" fillId="0" borderId="54" xfId="17" applyNumberFormat="1" applyFont="1" applyBorder="1" applyAlignment="1">
      <alignment vertical="center"/>
    </xf>
    <xf numFmtId="0" fontId="59" fillId="0" borderId="2" xfId="17" applyFont="1" applyBorder="1" applyAlignment="1">
      <alignment horizontal="center" vertical="center" wrapText="1"/>
    </xf>
    <xf numFmtId="2" fontId="59" fillId="0" borderId="2" xfId="17" applyNumberFormat="1" applyFont="1" applyBorder="1" applyAlignment="1">
      <alignment horizontal="center" vertical="center" wrapText="1"/>
    </xf>
    <xf numFmtId="4" fontId="37" fillId="0" borderId="2" xfId="0" applyNumberFormat="1" applyFont="1" applyFill="1" applyBorder="1" applyAlignment="1">
      <alignment wrapText="1"/>
    </xf>
    <xf numFmtId="2" fontId="35" fillId="19" borderId="33" xfId="23" applyNumberFormat="1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wrapText="1"/>
    </xf>
    <xf numFmtId="0" fontId="0" fillId="0" borderId="0" xfId="0" applyFill="1"/>
    <xf numFmtId="0" fontId="6" fillId="0" borderId="1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4" fontId="74" fillId="0" borderId="2" xfId="0" applyNumberFormat="1" applyFont="1" applyBorder="1" applyAlignment="1">
      <alignment vertical="center" wrapText="1"/>
    </xf>
    <xf numFmtId="165" fontId="81" fillId="0" borderId="26" xfId="17" applyNumberFormat="1" applyFont="1" applyFill="1" applyBorder="1" applyAlignment="1">
      <alignment vertical="center"/>
    </xf>
    <xf numFmtId="165" fontId="82" fillId="0" borderId="2" xfId="17" applyNumberFormat="1" applyFont="1" applyFill="1" applyBorder="1" applyAlignment="1">
      <alignment horizontal="center" vertical="center" wrapText="1"/>
    </xf>
    <xf numFmtId="165" fontId="81" fillId="0" borderId="2" xfId="17" applyNumberFormat="1" applyFont="1" applyFill="1" applyBorder="1" applyAlignment="1">
      <alignment vertical="center"/>
    </xf>
    <xf numFmtId="165" fontId="81" fillId="0" borderId="48" xfId="17" applyNumberFormat="1" applyFont="1" applyFill="1" applyBorder="1" applyAlignment="1">
      <alignment vertical="center"/>
    </xf>
    <xf numFmtId="165" fontId="82" fillId="0" borderId="35" xfId="17" applyNumberFormat="1" applyFont="1" applyFill="1" applyBorder="1" applyAlignment="1">
      <alignment horizontal="center" vertical="center" wrapText="1"/>
    </xf>
    <xf numFmtId="4" fontId="74" fillId="18" borderId="2" xfId="0" applyNumberFormat="1" applyFont="1" applyFill="1" applyBorder="1" applyAlignment="1">
      <alignment vertical="center" wrapText="1"/>
    </xf>
    <xf numFmtId="4" fontId="53" fillId="20" borderId="2" xfId="0" applyNumberFormat="1" applyFont="1" applyFill="1" applyBorder="1" applyAlignment="1">
      <alignment vertical="center"/>
    </xf>
    <xf numFmtId="2" fontId="35" fillId="15" borderId="0" xfId="23" applyNumberFormat="1" applyFont="1" applyFill="1" applyBorder="1" applyAlignment="1">
      <alignment horizontal="center" vertical="center" wrapText="1"/>
    </xf>
    <xf numFmtId="4" fontId="83" fillId="0" borderId="64" xfId="0" applyNumberFormat="1" applyFont="1" applyFill="1" applyBorder="1" applyAlignment="1">
      <alignment vertical="center"/>
    </xf>
    <xf numFmtId="4" fontId="35" fillId="19" borderId="33" xfId="23" applyNumberFormat="1" applyFont="1" applyFill="1" applyBorder="1" applyAlignment="1">
      <alignment horizontal="center" vertical="center" wrapText="1"/>
    </xf>
    <xf numFmtId="4" fontId="53" fillId="21" borderId="2" xfId="0" applyNumberFormat="1" applyFont="1" applyFill="1" applyBorder="1" applyAlignment="1">
      <alignment vertical="center"/>
    </xf>
    <xf numFmtId="4" fontId="83" fillId="18" borderId="64" xfId="0" applyNumberFormat="1" applyFont="1" applyFill="1" applyBorder="1" applyAlignment="1">
      <alignment vertical="center"/>
    </xf>
    <xf numFmtId="0" fontId="24" fillId="0" borderId="24" xfId="0" applyFont="1" applyFill="1" applyBorder="1" applyAlignment="1">
      <alignment horizontal="center" vertical="center" wrapText="1"/>
    </xf>
    <xf numFmtId="0" fontId="1" fillId="0" borderId="0" xfId="0" applyFont="1"/>
    <xf numFmtId="4" fontId="80" fillId="0" borderId="2" xfId="0" applyNumberFormat="1" applyFont="1" applyFill="1" applyBorder="1" applyAlignment="1">
      <alignment vertical="center" wrapText="1"/>
    </xf>
    <xf numFmtId="2" fontId="79" fillId="0" borderId="2" xfId="0" applyNumberFormat="1" applyFont="1" applyFill="1" applyBorder="1" applyAlignment="1">
      <alignment horizontal="center" vertical="center"/>
    </xf>
    <xf numFmtId="2" fontId="79" fillId="0" borderId="2" xfId="17" applyNumberFormat="1" applyFont="1" applyFill="1" applyBorder="1" applyAlignment="1">
      <alignment horizontal="center" vertical="center"/>
    </xf>
    <xf numFmtId="4" fontId="74" fillId="0" borderId="76" xfId="0" applyNumberFormat="1" applyFont="1" applyBorder="1" applyAlignment="1">
      <alignment vertical="center" wrapText="1"/>
    </xf>
    <xf numFmtId="4" fontId="80" fillId="2" borderId="2" xfId="0" applyNumberFormat="1" applyFont="1" applyFill="1" applyBorder="1" applyAlignment="1">
      <alignment vertical="center" wrapText="1"/>
    </xf>
    <xf numFmtId="165" fontId="81" fillId="2" borderId="26" xfId="17" applyNumberFormat="1" applyFont="1" applyFill="1" applyBorder="1" applyAlignment="1">
      <alignment vertical="center"/>
    </xf>
    <xf numFmtId="165" fontId="82" fillId="2" borderId="2" xfId="17" applyNumberFormat="1" applyFont="1" applyFill="1" applyBorder="1" applyAlignment="1">
      <alignment horizontal="center" vertical="center" wrapText="1"/>
    </xf>
    <xf numFmtId="165" fontId="81" fillId="2" borderId="2" xfId="17" applyNumberFormat="1" applyFont="1" applyFill="1" applyBorder="1" applyAlignment="1">
      <alignment vertical="center"/>
    </xf>
    <xf numFmtId="165" fontId="81" fillId="22" borderId="2" xfId="17" applyNumberFormat="1" applyFont="1" applyFill="1" applyBorder="1" applyAlignment="1">
      <alignment vertical="center"/>
    </xf>
    <xf numFmtId="165" fontId="82" fillId="22" borderId="2" xfId="17" applyNumberFormat="1" applyFont="1" applyFill="1" applyBorder="1" applyAlignment="1">
      <alignment horizontal="center" vertical="center" wrapText="1"/>
    </xf>
    <xf numFmtId="4" fontId="74" fillId="0" borderId="2" xfId="0" applyNumberFormat="1" applyFont="1" applyFill="1" applyBorder="1" applyAlignment="1">
      <alignment vertical="center" wrapText="1"/>
    </xf>
    <xf numFmtId="165" fontId="81" fillId="2" borderId="48" xfId="17" applyNumberFormat="1" applyFont="1" applyFill="1" applyBorder="1" applyAlignment="1">
      <alignment vertical="center"/>
    </xf>
    <xf numFmtId="165" fontId="82" fillId="2" borderId="35" xfId="17" applyNumberFormat="1" applyFont="1" applyFill="1" applyBorder="1" applyAlignment="1">
      <alignment horizontal="center" vertical="center" wrapText="1"/>
    </xf>
    <xf numFmtId="169" fontId="59" fillId="0" borderId="0" xfId="0" applyNumberFormat="1" applyFont="1" applyAlignment="1">
      <alignment horizontal="center" vertical="center" wrapText="1"/>
    </xf>
    <xf numFmtId="4" fontId="80" fillId="0" borderId="2" xfId="0" applyNumberFormat="1" applyFont="1" applyBorder="1" applyAlignment="1">
      <alignment vertical="center" wrapText="1"/>
    </xf>
    <xf numFmtId="165" fontId="81" fillId="23" borderId="26" xfId="17" applyNumberFormat="1" applyFont="1" applyFill="1" applyBorder="1" applyAlignment="1">
      <alignment vertical="center"/>
    </xf>
    <xf numFmtId="165" fontId="82" fillId="23" borderId="2" xfId="17" applyNumberFormat="1" applyFont="1" applyFill="1" applyBorder="1" applyAlignment="1">
      <alignment horizontal="center" vertical="center" wrapText="1"/>
    </xf>
    <xf numFmtId="4" fontId="80" fillId="18" borderId="2" xfId="0" applyNumberFormat="1" applyFont="1" applyFill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77" fillId="0" borderId="0" xfId="0" applyFont="1" applyBorder="1" applyAlignment="1">
      <alignment horizontal="center" vertical="center" wrapText="1"/>
    </xf>
    <xf numFmtId="4" fontId="0" fillId="0" borderId="0" xfId="0" applyNumberFormat="1"/>
    <xf numFmtId="165" fontId="81" fillId="22" borderId="26" xfId="17" applyNumberFormat="1" applyFont="1" applyFill="1" applyBorder="1" applyAlignment="1">
      <alignment vertical="center"/>
    </xf>
    <xf numFmtId="4" fontId="38" fillId="18" borderId="2" xfId="0" applyNumberFormat="1" applyFont="1" applyFill="1" applyBorder="1" applyAlignment="1">
      <alignment wrapText="1"/>
    </xf>
    <xf numFmtId="2" fontId="15" fillId="0" borderId="2" xfId="0" applyNumberFormat="1" applyFont="1" applyFill="1" applyBorder="1" applyAlignment="1">
      <alignment horizontal="center" vertical="center"/>
    </xf>
    <xf numFmtId="4" fontId="59" fillId="0" borderId="0" xfId="0" applyNumberFormat="1" applyFont="1" applyAlignment="1">
      <alignment horizontal="center" vertical="center" wrapText="1"/>
    </xf>
    <xf numFmtId="0" fontId="85" fillId="0" borderId="19" xfId="0" applyFont="1" applyBorder="1" applyAlignment="1">
      <alignment wrapText="1"/>
    </xf>
    <xf numFmtId="0" fontId="86" fillId="0" borderId="77" xfId="0" applyFont="1" applyFill="1" applyBorder="1" applyAlignment="1">
      <alignment wrapText="1"/>
    </xf>
    <xf numFmtId="0" fontId="87" fillId="0" borderId="77" xfId="0" applyFont="1" applyFill="1" applyBorder="1"/>
    <xf numFmtId="0" fontId="85" fillId="2" borderId="19" xfId="0" applyFont="1" applyFill="1" applyBorder="1" applyAlignment="1">
      <alignment wrapText="1"/>
    </xf>
    <xf numFmtId="0" fontId="85" fillId="2" borderId="35" xfId="0" applyFont="1" applyFill="1" applyBorder="1" applyAlignment="1">
      <alignment wrapText="1"/>
    </xf>
    <xf numFmtId="2" fontId="35" fillId="5" borderId="27" xfId="23" applyNumberFormat="1" applyFont="1" applyFill="1" applyBorder="1" applyAlignment="1">
      <alignment horizontal="center" vertical="center" wrapText="1"/>
    </xf>
    <xf numFmtId="4" fontId="89" fillId="0" borderId="2" xfId="0" applyNumberFormat="1" applyFont="1" applyFill="1" applyBorder="1" applyAlignment="1">
      <alignment vertical="center" wrapText="1"/>
    </xf>
    <xf numFmtId="4" fontId="88" fillId="0" borderId="64" xfId="0" applyNumberFormat="1" applyFont="1" applyFill="1" applyBorder="1" applyAlignment="1">
      <alignment vertical="center"/>
    </xf>
    <xf numFmtId="4" fontId="90" fillId="18" borderId="71" xfId="0" applyNumberFormat="1" applyFont="1" applyFill="1" applyBorder="1" applyAlignment="1">
      <alignment vertical="center"/>
    </xf>
    <xf numFmtId="2" fontId="73" fillId="19" borderId="33" xfId="23" applyNumberFormat="1" applyFont="1" applyFill="1" applyBorder="1" applyAlignment="1">
      <alignment horizontal="center" vertical="center" wrapText="1"/>
    </xf>
    <xf numFmtId="4" fontId="73" fillId="5" borderId="33" xfId="23" applyNumberFormat="1" applyFont="1" applyFill="1" applyBorder="1" applyAlignment="1">
      <alignment horizontal="center" vertical="center" wrapText="1"/>
    </xf>
    <xf numFmtId="4" fontId="90" fillId="0" borderId="64" xfId="0" applyNumberFormat="1" applyFont="1" applyFill="1" applyBorder="1" applyAlignment="1">
      <alignment vertical="center"/>
    </xf>
    <xf numFmtId="4" fontId="79" fillId="0" borderId="0" xfId="0" applyNumberFormat="1" applyFont="1" applyAlignment="1">
      <alignment horizontal="center" vertical="center" wrapText="1"/>
    </xf>
    <xf numFmtId="2" fontId="15" fillId="5" borderId="0" xfId="0" applyNumberFormat="1" applyFont="1" applyFill="1" applyAlignment="1">
      <alignment horizontal="center" vertical="center" wrapText="1"/>
    </xf>
    <xf numFmtId="2" fontId="73" fillId="5" borderId="33" xfId="23" applyNumberFormat="1" applyFont="1" applyFill="1" applyBorder="1" applyAlignment="1">
      <alignment horizontal="center" vertical="center" wrapText="1"/>
    </xf>
    <xf numFmtId="0" fontId="85" fillId="0" borderId="19" xfId="0" applyFont="1" applyFill="1" applyBorder="1" applyAlignment="1">
      <alignment wrapText="1"/>
    </xf>
    <xf numFmtId="0" fontId="85" fillId="0" borderId="35" xfId="0" applyFont="1" applyFill="1" applyBorder="1" applyAlignment="1">
      <alignment wrapText="1"/>
    </xf>
    <xf numFmtId="4" fontId="53" fillId="24" borderId="2" xfId="0" applyNumberFormat="1" applyFont="1" applyFill="1" applyBorder="1" applyAlignment="1">
      <alignment vertical="center"/>
    </xf>
    <xf numFmtId="165" fontId="6" fillId="22" borderId="2" xfId="0" applyNumberFormat="1" applyFont="1" applyFill="1" applyBorder="1" applyAlignment="1">
      <alignment horizontal="center" vertical="center" wrapText="1"/>
    </xf>
    <xf numFmtId="0" fontId="85" fillId="22" borderId="35" xfId="0" applyFont="1" applyFill="1" applyBorder="1" applyAlignment="1">
      <alignment wrapText="1"/>
    </xf>
    <xf numFmtId="4" fontId="53" fillId="0" borderId="2" xfId="0" applyNumberFormat="1" applyFont="1" applyFill="1" applyBorder="1" applyAlignment="1">
      <alignment vertical="center"/>
    </xf>
    <xf numFmtId="0" fontId="87" fillId="2" borderId="77" xfId="0" applyFont="1" applyFill="1" applyBorder="1"/>
    <xf numFmtId="2" fontId="73" fillId="5" borderId="5" xfId="23" applyNumberFormat="1" applyFont="1" applyFill="1" applyBorder="1" applyAlignment="1">
      <alignment horizontal="center" vertical="center" wrapText="1"/>
    </xf>
    <xf numFmtId="2" fontId="73" fillId="5" borderId="27" xfId="23" applyNumberFormat="1" applyFont="1" applyFill="1" applyBorder="1" applyAlignment="1">
      <alignment horizontal="center" vertical="center" wrapText="1"/>
    </xf>
    <xf numFmtId="2" fontId="73" fillId="0" borderId="33" xfId="23" applyNumberFormat="1" applyFont="1" applyFill="1" applyBorder="1" applyAlignment="1">
      <alignment horizontal="center" vertical="center" wrapText="1"/>
    </xf>
    <xf numFmtId="4" fontId="73" fillId="5" borderId="32" xfId="23" applyNumberFormat="1" applyFont="1" applyFill="1" applyBorder="1" applyAlignment="1">
      <alignment vertical="center"/>
    </xf>
    <xf numFmtId="2" fontId="73" fillId="5" borderId="32" xfId="23" applyNumberFormat="1" applyFont="1" applyFill="1" applyBorder="1" applyAlignment="1">
      <alignment vertical="center"/>
    </xf>
    <xf numFmtId="2" fontId="73" fillId="0" borderId="5" xfId="23" applyNumberFormat="1" applyFont="1" applyFill="1" applyBorder="1" applyAlignment="1">
      <alignment horizontal="center" vertical="center" wrapText="1"/>
    </xf>
    <xf numFmtId="0" fontId="88" fillId="0" borderId="0" xfId="0" applyFont="1"/>
    <xf numFmtId="4" fontId="62" fillId="21" borderId="2" xfId="0" applyNumberFormat="1" applyFont="1" applyFill="1" applyBorder="1" applyAlignment="1">
      <alignment vertical="center"/>
    </xf>
    <xf numFmtId="2" fontId="73" fillId="15" borderId="0" xfId="23" applyNumberFormat="1" applyFont="1" applyFill="1" applyBorder="1" applyAlignment="1">
      <alignment horizontal="center" vertical="center" wrapText="1"/>
    </xf>
    <xf numFmtId="4" fontId="91" fillId="11" borderId="2" xfId="0" applyNumberFormat="1" applyFont="1" applyFill="1" applyBorder="1" applyAlignment="1">
      <alignment vertical="center" wrapText="1"/>
    </xf>
    <xf numFmtId="4" fontId="92" fillId="0" borderId="64" xfId="0" applyNumberFormat="1" applyFont="1" applyFill="1" applyBorder="1" applyAlignment="1">
      <alignment vertical="center"/>
    </xf>
    <xf numFmtId="4" fontId="93" fillId="18" borderId="71" xfId="0" applyNumberFormat="1" applyFont="1" applyFill="1" applyBorder="1" applyAlignment="1">
      <alignment vertical="center"/>
    </xf>
    <xf numFmtId="4" fontId="35" fillId="5" borderId="33" xfId="23" applyNumberFormat="1" applyFont="1" applyFill="1" applyBorder="1" applyAlignment="1">
      <alignment horizontal="center" vertical="center" wrapText="1"/>
    </xf>
    <xf numFmtId="4" fontId="93" fillId="0" borderId="64" xfId="0" applyNumberFormat="1" applyFont="1" applyFill="1" applyBorder="1" applyAlignment="1">
      <alignment vertical="center"/>
    </xf>
    <xf numFmtId="4" fontId="15" fillId="0" borderId="0" xfId="0" applyNumberFormat="1" applyFont="1" applyAlignment="1">
      <alignment horizontal="center" vertical="center" wrapText="1"/>
    </xf>
    <xf numFmtId="4" fontId="94" fillId="0" borderId="2" xfId="0" applyNumberFormat="1" applyFont="1" applyFill="1" applyBorder="1" applyAlignment="1">
      <alignment vertical="center"/>
    </xf>
    <xf numFmtId="0" fontId="86" fillId="2" borderId="77" xfId="0" applyFont="1" applyFill="1" applyBorder="1" applyAlignment="1">
      <alignment wrapText="1"/>
    </xf>
    <xf numFmtId="0" fontId="46" fillId="0" borderId="0" xfId="0" applyFont="1" applyFill="1" applyBorder="1" applyAlignment="1">
      <alignment horizontal="center" wrapText="1"/>
    </xf>
    <xf numFmtId="0" fontId="77" fillId="0" borderId="35" xfId="0" applyFont="1" applyFill="1" applyBorder="1" applyAlignment="1">
      <alignment horizontal="center" vertical="center" wrapText="1"/>
    </xf>
    <xf numFmtId="4" fontId="88" fillId="0" borderId="0" xfId="0" applyNumberFormat="1" applyFont="1" applyFill="1" applyBorder="1" applyAlignment="1">
      <alignment vertical="center"/>
    </xf>
    <xf numFmtId="2" fontId="35" fillId="0" borderId="0" xfId="23" applyNumberFormat="1" applyFont="1" applyFill="1" applyBorder="1" applyAlignment="1">
      <alignment horizontal="center" vertical="center" wrapText="1"/>
    </xf>
    <xf numFmtId="4" fontId="92" fillId="0" borderId="0" xfId="0" applyNumberFormat="1" applyFont="1" applyFill="1" applyBorder="1" applyAlignment="1">
      <alignment vertical="center"/>
    </xf>
    <xf numFmtId="2" fontId="73" fillId="0" borderId="0" xfId="23" applyNumberFormat="1" applyFont="1" applyFill="1" applyBorder="1" applyAlignment="1">
      <alignment horizontal="center" vertical="center" wrapText="1"/>
    </xf>
    <xf numFmtId="4" fontId="83" fillId="17" borderId="64" xfId="0" applyNumberFormat="1" applyFont="1" applyFill="1" applyBorder="1" applyAlignment="1">
      <alignment vertical="center"/>
    </xf>
    <xf numFmtId="4" fontId="91" fillId="0" borderId="78" xfId="0" applyNumberFormat="1" applyFont="1" applyBorder="1" applyAlignment="1">
      <alignment vertical="center" wrapText="1"/>
    </xf>
    <xf numFmtId="4" fontId="92" fillId="18" borderId="64" xfId="0" applyNumberFormat="1" applyFont="1" applyFill="1" applyBorder="1" applyAlignment="1">
      <alignment vertical="center"/>
    </xf>
    <xf numFmtId="4" fontId="92" fillId="17" borderId="64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2" fontId="35" fillId="0" borderId="27" xfId="23" applyNumberFormat="1" applyFont="1" applyFill="1" applyBorder="1" applyAlignment="1">
      <alignment horizontal="center" vertical="center" wrapText="1"/>
    </xf>
    <xf numFmtId="4" fontId="80" fillId="0" borderId="2" xfId="0" applyNumberFormat="1" applyFont="1" applyFill="1" applyBorder="1" applyAlignment="1">
      <alignment vertical="center"/>
    </xf>
    <xf numFmtId="4" fontId="62" fillId="21" borderId="4" xfId="0" applyNumberFormat="1" applyFont="1" applyFill="1" applyBorder="1" applyAlignment="1">
      <alignment vertical="center"/>
    </xf>
    <xf numFmtId="2" fontId="35" fillId="5" borderId="57" xfId="23" applyNumberFormat="1" applyFont="1" applyFill="1" applyBorder="1" applyAlignment="1">
      <alignment horizontal="center" vertical="center" wrapText="1"/>
    </xf>
    <xf numFmtId="2" fontId="73" fillId="0" borderId="57" xfId="23" applyNumberFormat="1" applyFont="1" applyFill="1" applyBorder="1" applyAlignment="1">
      <alignment horizontal="center" vertical="center" wrapText="1"/>
    </xf>
    <xf numFmtId="2" fontId="76" fillId="2" borderId="79" xfId="0" applyNumberFormat="1" applyFont="1" applyFill="1" applyBorder="1" applyAlignment="1">
      <alignment horizontal="right"/>
    </xf>
    <xf numFmtId="2" fontId="35" fillId="5" borderId="30" xfId="23" applyNumberFormat="1" applyFont="1" applyFill="1" applyBorder="1" applyAlignment="1">
      <alignment horizontal="center" vertical="center" wrapText="1"/>
    </xf>
    <xf numFmtId="4" fontId="80" fillId="0" borderId="10" xfId="0" applyNumberFormat="1" applyFont="1" applyFill="1" applyBorder="1" applyAlignment="1">
      <alignment vertical="center"/>
    </xf>
    <xf numFmtId="0" fontId="92" fillId="0" borderId="5" xfId="0" applyFont="1" applyBorder="1"/>
    <xf numFmtId="4" fontId="83" fillId="0" borderId="10" xfId="0" applyNumberFormat="1" applyFont="1" applyFill="1" applyBorder="1" applyAlignment="1">
      <alignment vertical="center"/>
    </xf>
    <xf numFmtId="4" fontId="92" fillId="0" borderId="58" xfId="0" applyNumberFormat="1" applyFont="1" applyFill="1" applyBorder="1" applyAlignment="1">
      <alignment vertical="center"/>
    </xf>
    <xf numFmtId="2" fontId="35" fillId="0" borderId="38" xfId="23" applyNumberFormat="1" applyFont="1" applyFill="1" applyBorder="1" applyAlignment="1">
      <alignment horizontal="center" vertical="center" wrapText="1"/>
    </xf>
    <xf numFmtId="2" fontId="35" fillId="15" borderId="41" xfId="23" applyNumberFormat="1" applyFont="1" applyFill="1" applyBorder="1" applyAlignment="1">
      <alignment horizontal="center" vertical="center" wrapText="1"/>
    </xf>
    <xf numFmtId="4" fontId="91" fillId="0" borderId="5" xfId="0" applyNumberFormat="1" applyFont="1" applyFill="1" applyBorder="1" applyAlignment="1">
      <alignment vertical="center"/>
    </xf>
    <xf numFmtId="4" fontId="92" fillId="0" borderId="59" xfId="0" applyNumberFormat="1" applyFont="1" applyFill="1" applyBorder="1" applyAlignment="1">
      <alignment vertical="center"/>
    </xf>
    <xf numFmtId="4" fontId="35" fillId="0" borderId="32" xfId="23" applyNumberFormat="1" applyFont="1" applyFill="1" applyBorder="1" applyAlignment="1">
      <alignment vertical="center"/>
    </xf>
    <xf numFmtId="4" fontId="93" fillId="0" borderId="71" xfId="0" applyNumberFormat="1" applyFont="1" applyFill="1" applyBorder="1" applyAlignment="1">
      <alignment vertical="center"/>
    </xf>
    <xf numFmtId="0" fontId="95" fillId="0" borderId="77" xfId="0" applyFont="1" applyFill="1" applyBorder="1"/>
    <xf numFmtId="0" fontId="95" fillId="2" borderId="77" xfId="0" applyFont="1" applyFill="1" applyBorder="1"/>
    <xf numFmtId="4" fontId="78" fillId="17" borderId="71" xfId="0" applyNumberFormat="1" applyFont="1" applyFill="1" applyBorder="1" applyAlignment="1">
      <alignment vertical="center"/>
    </xf>
    <xf numFmtId="4" fontId="80" fillId="0" borderId="78" xfId="0" applyNumberFormat="1" applyFont="1" applyBorder="1" applyAlignment="1">
      <alignment vertical="center" wrapText="1"/>
    </xf>
    <xf numFmtId="2" fontId="0" fillId="0" borderId="2" xfId="0" applyNumberFormat="1" applyBorder="1"/>
    <xf numFmtId="164" fontId="6" fillId="2" borderId="2" xfId="0" applyNumberFormat="1" applyFont="1" applyFill="1" applyBorder="1" applyAlignment="1">
      <alignment horizontal="center" vertical="center" wrapText="1"/>
    </xf>
    <xf numFmtId="165" fontId="95" fillId="2" borderId="77" xfId="0" applyNumberFormat="1" applyFont="1" applyFill="1" applyBorder="1"/>
    <xf numFmtId="164" fontId="6" fillId="0" borderId="2" xfId="0" applyNumberFormat="1" applyFont="1" applyFill="1" applyBorder="1" applyAlignment="1">
      <alignment horizontal="center" vertical="center" wrapText="1"/>
    </xf>
    <xf numFmtId="165" fontId="95" fillId="0" borderId="77" xfId="0" applyNumberFormat="1" applyFont="1" applyFill="1" applyBorder="1"/>
    <xf numFmtId="4" fontId="38" fillId="17" borderId="2" xfId="0" applyNumberFormat="1" applyFont="1" applyFill="1" applyBorder="1" applyAlignment="1">
      <alignment wrapText="1"/>
    </xf>
    <xf numFmtId="4" fontId="80" fillId="17" borderId="78" xfId="0" applyNumberFormat="1" applyFont="1" applyFill="1" applyBorder="1" applyAlignment="1">
      <alignment vertical="center" wrapText="1"/>
    </xf>
    <xf numFmtId="4" fontId="73" fillId="0" borderId="32" xfId="23" applyNumberFormat="1" applyFont="1" applyFill="1" applyBorder="1" applyAlignment="1">
      <alignment vertical="center"/>
    </xf>
    <xf numFmtId="4" fontId="90" fillId="17" borderId="71" xfId="0" applyNumberFormat="1" applyFont="1" applyFill="1" applyBorder="1" applyAlignment="1">
      <alignment vertical="center"/>
    </xf>
    <xf numFmtId="4" fontId="74" fillId="17" borderId="2" xfId="0" applyNumberFormat="1" applyFont="1" applyFill="1" applyBorder="1" applyAlignment="1">
      <alignment vertical="center" wrapText="1"/>
    </xf>
    <xf numFmtId="2" fontId="59" fillId="0" borderId="18" xfId="0" applyNumberFormat="1" applyFont="1" applyFill="1" applyBorder="1" applyAlignment="1">
      <alignment horizontal="center" vertical="center" wrapText="1"/>
    </xf>
    <xf numFmtId="4" fontId="80" fillId="0" borderId="78" xfId="0" applyNumberFormat="1" applyFont="1" applyFill="1" applyBorder="1" applyAlignment="1">
      <alignment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165" fontId="91" fillId="0" borderId="77" xfId="0" applyNumberFormat="1" applyFont="1" applyFill="1" applyBorder="1"/>
    <xf numFmtId="4" fontId="35" fillId="0" borderId="33" xfId="23" applyNumberFormat="1" applyFont="1" applyFill="1" applyBorder="1" applyAlignment="1">
      <alignment horizontal="right" vertical="center" wrapText="1"/>
    </xf>
    <xf numFmtId="2" fontId="35" fillId="0" borderId="33" xfId="23" applyNumberFormat="1" applyFont="1" applyFill="1" applyBorder="1" applyAlignment="1">
      <alignment horizontal="right" vertical="center" wrapText="1"/>
    </xf>
    <xf numFmtId="4" fontId="80" fillId="17" borderId="2" xfId="0" applyNumberFormat="1" applyFont="1" applyFill="1" applyBorder="1" applyAlignment="1">
      <alignment vertical="center" wrapText="1"/>
    </xf>
    <xf numFmtId="165" fontId="15" fillId="0" borderId="2" xfId="0" applyNumberFormat="1" applyFont="1" applyFill="1" applyBorder="1" applyAlignment="1">
      <alignment horizontal="center" vertical="center" wrapText="1"/>
    </xf>
    <xf numFmtId="165" fontId="80" fillId="0" borderId="53" xfId="17" applyNumberFormat="1" applyFont="1" applyBorder="1" applyAlignment="1">
      <alignment vertical="center"/>
    </xf>
    <xf numFmtId="165" fontId="80" fillId="0" borderId="26" xfId="17" applyNumberFormat="1" applyFont="1" applyBorder="1" applyAlignment="1">
      <alignment vertical="center"/>
    </xf>
    <xf numFmtId="165" fontId="80" fillId="0" borderId="2" xfId="17" applyNumberFormat="1" applyFont="1" applyBorder="1" applyAlignment="1">
      <alignment vertical="center"/>
    </xf>
    <xf numFmtId="165" fontId="80" fillId="0" borderId="54" xfId="17" applyNumberFormat="1" applyFont="1" applyBorder="1" applyAlignment="1">
      <alignment vertical="center"/>
    </xf>
    <xf numFmtId="165" fontId="76" fillId="2" borderId="7" xfId="0" applyNumberFormat="1" applyFont="1" applyFill="1" applyBorder="1" applyAlignment="1"/>
    <xf numFmtId="165" fontId="43" fillId="0" borderId="10" xfId="0" applyNumberFormat="1" applyFont="1" applyBorder="1"/>
    <xf numFmtId="165" fontId="6" fillId="0" borderId="18" xfId="0" applyNumberFormat="1" applyFont="1" applyFill="1" applyBorder="1" applyAlignment="1">
      <alignment vertical="center" wrapText="1"/>
    </xf>
    <xf numFmtId="165" fontId="76" fillId="2" borderId="8" xfId="0" applyNumberFormat="1" applyFont="1" applyFill="1" applyBorder="1" applyAlignment="1"/>
    <xf numFmtId="165" fontId="43" fillId="0" borderId="9" xfId="0" applyNumberFormat="1" applyFont="1" applyBorder="1" applyAlignment="1">
      <alignment wrapText="1"/>
    </xf>
    <xf numFmtId="165" fontId="43" fillId="0" borderId="10" xfId="0" applyNumberFormat="1" applyFont="1" applyBorder="1" applyAlignment="1">
      <alignment wrapText="1"/>
    </xf>
    <xf numFmtId="165" fontId="43" fillId="0" borderId="11" xfId="0" applyNumberFormat="1" applyFont="1" applyBorder="1" applyAlignment="1">
      <alignment wrapText="1"/>
    </xf>
    <xf numFmtId="165" fontId="74" fillId="0" borderId="2" xfId="0" applyNumberFormat="1" applyFont="1" applyBorder="1" applyAlignment="1">
      <alignment vertical="center" wrapText="1"/>
    </xf>
    <xf numFmtId="165" fontId="38" fillId="0" borderId="2" xfId="0" applyNumberFormat="1" applyFont="1" applyFill="1" applyBorder="1" applyAlignment="1">
      <alignment wrapText="1"/>
    </xf>
    <xf numFmtId="165" fontId="74" fillId="0" borderId="2" xfId="0" applyNumberFormat="1" applyFont="1" applyFill="1" applyBorder="1" applyAlignment="1">
      <alignment vertical="center" wrapText="1"/>
    </xf>
    <xf numFmtId="165" fontId="37" fillId="0" borderId="2" xfId="0" applyNumberFormat="1" applyFont="1" applyFill="1" applyBorder="1" applyAlignment="1">
      <alignment wrapText="1"/>
    </xf>
    <xf numFmtId="165" fontId="43" fillId="0" borderId="12" xfId="0" applyNumberFormat="1" applyFont="1" applyBorder="1" applyAlignment="1"/>
    <xf numFmtId="165" fontId="76" fillId="2" borderId="29" xfId="0" applyNumberFormat="1" applyFont="1" applyFill="1" applyBorder="1" applyAlignment="1"/>
    <xf numFmtId="165" fontId="73" fillId="5" borderId="33" xfId="23" applyNumberFormat="1" applyFont="1" applyFill="1" applyBorder="1" applyAlignment="1">
      <alignment horizontal="center" vertical="center" wrapText="1"/>
    </xf>
    <xf numFmtId="165" fontId="83" fillId="0" borderId="64" xfId="0" applyNumberFormat="1" applyFont="1" applyFill="1" applyBorder="1" applyAlignment="1">
      <alignment vertical="center"/>
    </xf>
    <xf numFmtId="165" fontId="78" fillId="0" borderId="64" xfId="0" applyNumberFormat="1" applyFont="1" applyFill="1" applyBorder="1" applyAlignment="1">
      <alignment vertical="center"/>
    </xf>
    <xf numFmtId="165" fontId="35" fillId="5" borderId="32" xfId="23" applyNumberFormat="1" applyFont="1" applyFill="1" applyBorder="1" applyAlignment="1">
      <alignment vertical="center"/>
    </xf>
    <xf numFmtId="165" fontId="35" fillId="0" borderId="32" xfId="23" applyNumberFormat="1" applyFont="1" applyFill="1" applyBorder="1" applyAlignment="1">
      <alignment vertical="center"/>
    </xf>
    <xf numFmtId="165" fontId="15" fillId="5" borderId="0" xfId="0" applyNumberFormat="1" applyFont="1" applyFill="1" applyAlignment="1">
      <alignment horizontal="center" vertical="center" wrapText="1"/>
    </xf>
    <xf numFmtId="165" fontId="78" fillId="17" borderId="71" xfId="0" applyNumberFormat="1" applyFont="1" applyFill="1" applyBorder="1" applyAlignment="1">
      <alignment vertical="center"/>
    </xf>
    <xf numFmtId="165" fontId="80" fillId="17" borderId="2" xfId="0" applyNumberFormat="1" applyFont="1" applyFill="1" applyBorder="1" applyAlignment="1">
      <alignment vertical="center" wrapText="1"/>
    </xf>
    <xf numFmtId="165" fontId="83" fillId="17" borderId="64" xfId="0" applyNumberFormat="1" applyFont="1" applyFill="1" applyBorder="1" applyAlignment="1">
      <alignment vertical="center"/>
    </xf>
    <xf numFmtId="165" fontId="35" fillId="5" borderId="30" xfId="23" applyNumberFormat="1" applyFont="1" applyFill="1" applyBorder="1" applyAlignment="1">
      <alignment horizontal="center" vertical="center" wrapText="1"/>
    </xf>
    <xf numFmtId="165" fontId="53" fillId="0" borderId="2" xfId="0" applyNumberFormat="1" applyFont="1" applyFill="1" applyBorder="1" applyAlignment="1">
      <alignment vertical="center"/>
    </xf>
    <xf numFmtId="165" fontId="35" fillId="5" borderId="33" xfId="23" applyNumberFormat="1" applyFont="1" applyFill="1" applyBorder="1" applyAlignment="1">
      <alignment horizontal="center" vertical="center" wrapText="1"/>
    </xf>
    <xf numFmtId="165" fontId="92" fillId="0" borderId="58" xfId="0" applyNumberFormat="1" applyFont="1" applyFill="1" applyBorder="1" applyAlignment="1">
      <alignment vertical="center"/>
    </xf>
    <xf numFmtId="165" fontId="92" fillId="0" borderId="59" xfId="0" applyNumberFormat="1" applyFont="1" applyFill="1" applyBorder="1" applyAlignment="1">
      <alignment vertical="center"/>
    </xf>
    <xf numFmtId="165" fontId="35" fillId="15" borderId="41" xfId="23" applyNumberFormat="1" applyFont="1" applyFill="1" applyBorder="1" applyAlignment="1">
      <alignment horizontal="center" vertical="center" wrapText="1"/>
    </xf>
    <xf numFmtId="165" fontId="76" fillId="2" borderId="79" xfId="0" applyNumberFormat="1" applyFont="1" applyFill="1" applyBorder="1" applyAlignment="1">
      <alignment horizontal="right"/>
    </xf>
    <xf numFmtId="165" fontId="43" fillId="0" borderId="13" xfId="0" applyNumberFormat="1" applyFont="1" applyBorder="1" applyAlignment="1"/>
    <xf numFmtId="165" fontId="43" fillId="0" borderId="3" xfId="0" applyNumberFormat="1" applyFont="1" applyBorder="1" applyAlignment="1"/>
    <xf numFmtId="165" fontId="43" fillId="0" borderId="14" xfId="0" applyNumberFormat="1" applyFont="1" applyBorder="1" applyAlignment="1"/>
    <xf numFmtId="165" fontId="43" fillId="0" borderId="0" xfId="0" applyNumberFormat="1" applyFont="1"/>
    <xf numFmtId="170" fontId="6" fillId="0" borderId="2" xfId="0" applyNumberFormat="1" applyFont="1" applyFill="1" applyBorder="1" applyAlignment="1">
      <alignment horizontal="center" vertical="center" wrapText="1"/>
    </xf>
    <xf numFmtId="170" fontId="86" fillId="0" borderId="77" xfId="0" applyNumberFormat="1" applyFont="1" applyFill="1" applyBorder="1" applyAlignment="1">
      <alignment wrapText="1"/>
    </xf>
    <xf numFmtId="170" fontId="85" fillId="0" borderId="19" xfId="0" applyNumberFormat="1" applyFont="1" applyFill="1" applyBorder="1" applyAlignment="1">
      <alignment wrapText="1"/>
    </xf>
    <xf numFmtId="170" fontId="6" fillId="2" borderId="2" xfId="0" applyNumberFormat="1" applyFont="1" applyFill="1" applyBorder="1" applyAlignment="1">
      <alignment horizontal="center" vertical="center" wrapText="1"/>
    </xf>
    <xf numFmtId="170" fontId="95" fillId="2" borderId="77" xfId="0" applyNumberFormat="1" applyFont="1" applyFill="1" applyBorder="1"/>
    <xf numFmtId="170" fontId="95" fillId="0" borderId="77" xfId="0" applyNumberFormat="1" applyFont="1" applyFill="1" applyBorder="1"/>
    <xf numFmtId="170" fontId="15" fillId="2" borderId="2" xfId="0" applyNumberFormat="1" applyFont="1" applyFill="1" applyBorder="1" applyAlignment="1">
      <alignment horizontal="center" vertical="center" wrapText="1"/>
    </xf>
    <xf numFmtId="170" fontId="91" fillId="2" borderId="77" xfId="0" applyNumberFormat="1" applyFont="1" applyFill="1" applyBorder="1"/>
    <xf numFmtId="170" fontId="76" fillId="2" borderId="16" xfId="0" applyNumberFormat="1" applyFont="1" applyFill="1" applyBorder="1" applyAlignment="1"/>
    <xf numFmtId="170" fontId="80" fillId="0" borderId="53" xfId="17" applyNumberFormat="1" applyFont="1" applyBorder="1" applyAlignment="1">
      <alignment vertical="center"/>
    </xf>
    <xf numFmtId="170" fontId="6" fillId="0" borderId="2" xfId="17" applyNumberFormat="1" applyFont="1" applyFill="1" applyBorder="1" applyAlignment="1">
      <alignment horizontal="center" vertical="center" wrapText="1"/>
    </xf>
    <xf numFmtId="170" fontId="80" fillId="0" borderId="26" xfId="17" applyNumberFormat="1" applyFont="1" applyBorder="1" applyAlignment="1">
      <alignment vertical="center"/>
    </xf>
    <xf numFmtId="170" fontId="6" fillId="0" borderId="18" xfId="17" applyNumberFormat="1" applyFont="1" applyFill="1" applyBorder="1" applyAlignment="1">
      <alignment horizontal="center" vertical="center" wrapText="1"/>
    </xf>
    <xf numFmtId="170" fontId="80" fillId="0" borderId="2" xfId="17" applyNumberFormat="1" applyFont="1" applyBorder="1" applyAlignment="1">
      <alignment vertical="center"/>
    </xf>
    <xf numFmtId="170" fontId="80" fillId="0" borderId="54" xfId="17" applyNumberFormat="1" applyFont="1" applyBorder="1" applyAlignment="1">
      <alignment vertical="center"/>
    </xf>
    <xf numFmtId="170" fontId="76" fillId="2" borderId="7" xfId="0" applyNumberFormat="1" applyFont="1" applyFill="1" applyBorder="1" applyAlignment="1"/>
    <xf numFmtId="170" fontId="43" fillId="0" borderId="10" xfId="0" applyNumberFormat="1" applyFont="1" applyBorder="1"/>
    <xf numFmtId="170" fontId="43" fillId="0" borderId="5" xfId="0" applyNumberFormat="1" applyFont="1" applyBorder="1"/>
    <xf numFmtId="170" fontId="6" fillId="0" borderId="18" xfId="0" applyNumberFormat="1" applyFont="1" applyFill="1" applyBorder="1" applyAlignment="1">
      <alignment vertical="center" wrapText="1"/>
    </xf>
    <xf numFmtId="170" fontId="76" fillId="2" borderId="8" xfId="0" applyNumberFormat="1" applyFont="1" applyFill="1" applyBorder="1" applyAlignment="1"/>
    <xf numFmtId="170" fontId="43" fillId="0" borderId="9" xfId="0" applyNumberFormat="1" applyFont="1" applyBorder="1" applyAlignment="1">
      <alignment wrapText="1"/>
    </xf>
    <xf numFmtId="170" fontId="59" fillId="0" borderId="2" xfId="17" applyNumberFormat="1" applyFont="1" applyBorder="1" applyAlignment="1">
      <alignment horizontal="center" vertical="center" wrapText="1"/>
    </xf>
    <xf numFmtId="170" fontId="43" fillId="0" borderId="10" xfId="0" applyNumberFormat="1" applyFont="1" applyBorder="1" applyAlignment="1">
      <alignment wrapText="1"/>
    </xf>
    <xf numFmtId="170" fontId="43" fillId="0" borderId="11" xfId="0" applyNumberFormat="1" applyFont="1" applyBorder="1" applyAlignment="1">
      <alignment wrapText="1"/>
    </xf>
    <xf numFmtId="170" fontId="74" fillId="0" borderId="2" xfId="0" applyNumberFormat="1" applyFont="1" applyBorder="1" applyAlignment="1">
      <alignment vertical="center" wrapText="1"/>
    </xf>
    <xf numFmtId="170" fontId="74" fillId="0" borderId="76" xfId="0" applyNumberFormat="1" applyFont="1" applyBorder="1" applyAlignment="1">
      <alignment vertical="center" wrapText="1"/>
    </xf>
    <xf numFmtId="170" fontId="38" fillId="0" borderId="2" xfId="0" applyNumberFormat="1" applyFont="1" applyFill="1" applyBorder="1" applyAlignment="1">
      <alignment wrapText="1"/>
    </xf>
    <xf numFmtId="170" fontId="74" fillId="0" borderId="2" xfId="0" applyNumberFormat="1" applyFont="1" applyFill="1" applyBorder="1" applyAlignment="1">
      <alignment vertical="center" wrapText="1"/>
    </xf>
    <xf numFmtId="170" fontId="37" fillId="0" borderId="2" xfId="0" applyNumberFormat="1" applyFont="1" applyFill="1" applyBorder="1" applyAlignment="1">
      <alignment wrapText="1"/>
    </xf>
    <xf numFmtId="170" fontId="43" fillId="0" borderId="12" xfId="0" applyNumberFormat="1" applyFont="1" applyBorder="1" applyAlignment="1"/>
    <xf numFmtId="170" fontId="43" fillId="0" borderId="28" xfId="0" applyNumberFormat="1" applyFont="1" applyBorder="1"/>
    <xf numFmtId="170" fontId="76" fillId="2" borderId="29" xfId="0" applyNumberFormat="1" applyFont="1" applyFill="1" applyBorder="1" applyAlignment="1"/>
    <xf numFmtId="170" fontId="73" fillId="5" borderId="33" xfId="23" applyNumberFormat="1" applyFont="1" applyFill="1" applyBorder="1" applyAlignment="1">
      <alignment horizontal="center" vertical="center" wrapText="1"/>
    </xf>
    <xf numFmtId="170" fontId="83" fillId="0" borderId="64" xfId="0" applyNumberFormat="1" applyFont="1" applyFill="1" applyBorder="1" applyAlignment="1">
      <alignment vertical="center"/>
    </xf>
    <xf numFmtId="170" fontId="35" fillId="0" borderId="5" xfId="23" applyNumberFormat="1" applyFont="1" applyFill="1" applyBorder="1" applyAlignment="1">
      <alignment horizontal="center" vertical="center" wrapText="1"/>
    </xf>
    <xf numFmtId="170" fontId="78" fillId="0" borderId="64" xfId="0" applyNumberFormat="1" applyFont="1" applyFill="1" applyBorder="1" applyAlignment="1">
      <alignment vertical="center"/>
    </xf>
    <xf numFmtId="170" fontId="35" fillId="0" borderId="33" xfId="23" applyNumberFormat="1" applyFont="1" applyFill="1" applyBorder="1" applyAlignment="1">
      <alignment horizontal="center" vertical="center" wrapText="1"/>
    </xf>
    <xf numFmtId="170" fontId="35" fillId="5" borderId="32" xfId="23" applyNumberFormat="1" applyFont="1" applyFill="1" applyBorder="1" applyAlignment="1">
      <alignment vertical="center"/>
    </xf>
    <xf numFmtId="170" fontId="35" fillId="5" borderId="33" xfId="23" applyNumberFormat="1" applyFont="1" applyFill="1" applyBorder="1" applyAlignment="1">
      <alignment horizontal="center" vertical="center" wrapText="1"/>
    </xf>
    <xf numFmtId="170" fontId="35" fillId="0" borderId="32" xfId="23" applyNumberFormat="1" applyFont="1" applyFill="1" applyBorder="1" applyAlignment="1">
      <alignment vertical="center"/>
    </xf>
    <xf numFmtId="170" fontId="59" fillId="0" borderId="0" xfId="0" applyNumberFormat="1" applyFont="1" applyAlignment="1">
      <alignment horizontal="center" vertical="center" wrapText="1"/>
    </xf>
    <xf numFmtId="170" fontId="15" fillId="5" borderId="0" xfId="0" applyNumberFormat="1" applyFont="1" applyFill="1" applyAlignment="1">
      <alignment horizontal="center" vertical="center" wrapText="1"/>
    </xf>
    <xf numFmtId="170" fontId="35" fillId="5" borderId="5" xfId="23" applyNumberFormat="1" applyFont="1" applyFill="1" applyBorder="1" applyAlignment="1">
      <alignment horizontal="center" vertical="center" wrapText="1"/>
    </xf>
    <xf numFmtId="170" fontId="78" fillId="17" borderId="71" xfId="0" applyNumberFormat="1" applyFont="1" applyFill="1" applyBorder="1" applyAlignment="1">
      <alignment vertical="center"/>
    </xf>
    <xf numFmtId="170" fontId="80" fillId="17" borderId="2" xfId="0" applyNumberFormat="1" applyFont="1" applyFill="1" applyBorder="1" applyAlignment="1">
      <alignment vertical="center" wrapText="1"/>
    </xf>
    <xf numFmtId="170" fontId="83" fillId="17" borderId="64" xfId="0" applyNumberFormat="1" applyFont="1" applyFill="1" applyBorder="1" applyAlignment="1">
      <alignment vertical="center"/>
    </xf>
    <xf numFmtId="170" fontId="35" fillId="5" borderId="30" xfId="23" applyNumberFormat="1" applyFont="1" applyFill="1" applyBorder="1" applyAlignment="1">
      <alignment horizontal="center" vertical="center" wrapText="1"/>
    </xf>
    <xf numFmtId="170" fontId="59" fillId="0" borderId="18" xfId="0" applyNumberFormat="1" applyFont="1" applyFill="1" applyBorder="1" applyAlignment="1">
      <alignment horizontal="center" vertical="center" wrapText="1"/>
    </xf>
    <xf numFmtId="170" fontId="92" fillId="0" borderId="58" xfId="0" applyNumberFormat="1" applyFont="1" applyFill="1" applyBorder="1" applyAlignment="1">
      <alignment vertical="center"/>
    </xf>
    <xf numFmtId="170" fontId="35" fillId="0" borderId="27" xfId="23" applyNumberFormat="1" applyFont="1" applyFill="1" applyBorder="1" applyAlignment="1">
      <alignment horizontal="center" vertical="center" wrapText="1"/>
    </xf>
    <xf numFmtId="170" fontId="92" fillId="0" borderId="59" xfId="0" applyNumberFormat="1" applyFont="1" applyFill="1" applyBorder="1" applyAlignment="1">
      <alignment vertical="center"/>
    </xf>
    <xf numFmtId="170" fontId="35" fillId="0" borderId="38" xfId="23" applyNumberFormat="1" applyFont="1" applyFill="1" applyBorder="1" applyAlignment="1">
      <alignment horizontal="center" vertical="center" wrapText="1"/>
    </xf>
    <xf numFmtId="170" fontId="35" fillId="15" borderId="41" xfId="23" applyNumberFormat="1" applyFont="1" applyFill="1" applyBorder="1" applyAlignment="1">
      <alignment horizontal="center" vertical="center" wrapText="1"/>
    </xf>
    <xf numFmtId="170" fontId="76" fillId="2" borderId="79" xfId="0" applyNumberFormat="1" applyFont="1" applyFill="1" applyBorder="1" applyAlignment="1">
      <alignment horizontal="right"/>
    </xf>
    <xf numFmtId="170" fontId="43" fillId="0" borderId="13" xfId="0" applyNumberFormat="1" applyFont="1" applyBorder="1" applyAlignment="1"/>
    <xf numFmtId="170" fontId="43" fillId="0" borderId="21" xfId="0" applyNumberFormat="1" applyFont="1" applyBorder="1" applyAlignment="1"/>
    <xf numFmtId="170" fontId="43" fillId="0" borderId="3" xfId="0" applyNumberFormat="1" applyFont="1" applyBorder="1" applyAlignment="1"/>
    <xf numFmtId="170" fontId="43" fillId="0" borderId="16" xfId="0" applyNumberFormat="1" applyFont="1" applyBorder="1" applyAlignment="1"/>
    <xf numFmtId="170" fontId="43" fillId="0" borderId="14" xfId="0" applyNumberFormat="1" applyFont="1" applyBorder="1" applyAlignment="1"/>
    <xf numFmtId="170" fontId="43" fillId="0" borderId="37" xfId="0" applyNumberFormat="1" applyFont="1" applyBorder="1" applyAlignment="1"/>
    <xf numFmtId="170" fontId="76" fillId="3" borderId="15" xfId="0" applyNumberFormat="1" applyFont="1" applyFill="1" applyBorder="1" applyAlignment="1"/>
    <xf numFmtId="170" fontId="43" fillId="0" borderId="0" xfId="0" applyNumberFormat="1" applyFont="1"/>
    <xf numFmtId="170" fontId="15" fillId="0" borderId="2" xfId="0" applyNumberFormat="1" applyFont="1" applyFill="1" applyBorder="1" applyAlignment="1">
      <alignment horizontal="center" vertical="center" wrapText="1"/>
    </xf>
    <xf numFmtId="170" fontId="91" fillId="0" borderId="77" xfId="0" applyNumberFormat="1" applyFont="1" applyFill="1" applyBorder="1"/>
    <xf numFmtId="170" fontId="85" fillId="2" borderId="19" xfId="0" applyNumberFormat="1" applyFont="1" applyFill="1" applyBorder="1" applyAlignment="1">
      <alignment wrapText="1"/>
    </xf>
    <xf numFmtId="0" fontId="77" fillId="17" borderId="2" xfId="0" applyFont="1" applyFill="1" applyBorder="1" applyAlignment="1">
      <alignment horizontal="center" vertical="center" wrapText="1"/>
    </xf>
    <xf numFmtId="170" fontId="86" fillId="2" borderId="77" xfId="0" applyNumberFormat="1" applyFont="1" applyFill="1" applyBorder="1" applyAlignment="1">
      <alignment wrapText="1"/>
    </xf>
    <xf numFmtId="170" fontId="92" fillId="5" borderId="58" xfId="0" applyNumberFormat="1" applyFont="1" applyFill="1" applyBorder="1" applyAlignment="1">
      <alignment vertical="center"/>
    </xf>
    <xf numFmtId="170" fontId="35" fillId="5" borderId="27" xfId="23" applyNumberFormat="1" applyFont="1" applyFill="1" applyBorder="1" applyAlignment="1">
      <alignment horizontal="center" vertical="center" wrapText="1"/>
    </xf>
    <xf numFmtId="170" fontId="73" fillId="0" borderId="32" xfId="23" applyNumberFormat="1" applyFont="1" applyFill="1" applyBorder="1" applyAlignment="1">
      <alignment vertical="center"/>
    </xf>
    <xf numFmtId="170" fontId="90" fillId="17" borderId="71" xfId="0" applyNumberFormat="1" applyFont="1" applyFill="1" applyBorder="1" applyAlignment="1">
      <alignment vertical="center"/>
    </xf>
    <xf numFmtId="170" fontId="96" fillId="2" borderId="77" xfId="0" applyNumberFormat="1" applyFont="1" applyFill="1" applyBorder="1" applyAlignment="1">
      <alignment wrapText="1"/>
    </xf>
    <xf numFmtId="170" fontId="97" fillId="2" borderId="19" xfId="0" applyNumberFormat="1" applyFont="1" applyFill="1" applyBorder="1" applyAlignment="1">
      <alignment wrapText="1"/>
    </xf>
    <xf numFmtId="170" fontId="96" fillId="0" borderId="77" xfId="0" applyNumberFormat="1" applyFont="1" applyFill="1" applyBorder="1" applyAlignment="1">
      <alignment wrapText="1"/>
    </xf>
    <xf numFmtId="170" fontId="97" fillId="0" borderId="19" xfId="0" applyNumberFormat="1" applyFont="1" applyFill="1" applyBorder="1" applyAlignment="1">
      <alignment wrapText="1"/>
    </xf>
    <xf numFmtId="4" fontId="35" fillId="0" borderId="64" xfId="0" applyNumberFormat="1" applyFont="1" applyFill="1" applyBorder="1" applyAlignment="1">
      <alignment vertical="center"/>
    </xf>
    <xf numFmtId="4" fontId="0" fillId="0" borderId="3" xfId="0" applyNumberFormat="1" applyBorder="1"/>
    <xf numFmtId="2" fontId="65" fillId="2" borderId="4" xfId="0" applyNumberFormat="1" applyFont="1" applyFill="1" applyBorder="1" applyAlignment="1">
      <alignment shrinkToFit="1"/>
    </xf>
    <xf numFmtId="4" fontId="0" fillId="0" borderId="4" xfId="0" applyNumberFormat="1" applyBorder="1"/>
    <xf numFmtId="0" fontId="0" fillId="0" borderId="4" xfId="0" applyBorder="1"/>
    <xf numFmtId="2" fontId="65" fillId="2" borderId="2" xfId="0" applyNumberFormat="1" applyFont="1" applyFill="1" applyBorder="1" applyAlignment="1">
      <alignment shrinkToFit="1"/>
    </xf>
    <xf numFmtId="4" fontId="80" fillId="25" borderId="2" xfId="0" applyNumberFormat="1" applyFont="1" applyFill="1" applyBorder="1" applyAlignment="1">
      <alignment vertical="center" wrapText="1"/>
    </xf>
    <xf numFmtId="4" fontId="92" fillId="5" borderId="58" xfId="0" applyNumberFormat="1" applyFont="1" applyFill="1" applyBorder="1" applyAlignment="1">
      <alignment vertical="center"/>
    </xf>
    <xf numFmtId="2" fontId="0" fillId="0" borderId="0" xfId="0" applyNumberFormat="1"/>
    <xf numFmtId="164" fontId="99" fillId="2" borderId="26" xfId="33" applyNumberFormat="1" applyFont="1" applyFill="1" applyBorder="1" applyAlignment="1">
      <alignment vertical="center"/>
    </xf>
    <xf numFmtId="165" fontId="6" fillId="2" borderId="2" xfId="33" applyNumberFormat="1" applyFont="1" applyFill="1" applyBorder="1" applyAlignment="1">
      <alignment horizontal="center" vertical="center" wrapText="1"/>
    </xf>
    <xf numFmtId="164" fontId="99" fillId="2" borderId="2" xfId="33" applyNumberFormat="1" applyFont="1" applyFill="1" applyBorder="1" applyAlignment="1">
      <alignment vertical="center"/>
    </xf>
    <xf numFmtId="165" fontId="6" fillId="0" borderId="2" xfId="33" applyNumberFormat="1" applyFont="1" applyFill="1" applyBorder="1" applyAlignment="1">
      <alignment horizontal="center" vertical="center" wrapText="1"/>
    </xf>
    <xf numFmtId="164" fontId="99" fillId="0" borderId="2" xfId="33" applyNumberFormat="1" applyFont="1" applyBorder="1" applyAlignment="1">
      <alignment vertical="center"/>
    </xf>
    <xf numFmtId="164" fontId="99" fillId="0" borderId="26" xfId="33" applyNumberFormat="1" applyFont="1" applyBorder="1" applyAlignment="1">
      <alignment vertical="center"/>
    </xf>
    <xf numFmtId="165" fontId="6" fillId="0" borderId="2" xfId="33" applyNumberFormat="1" applyFont="1" applyFill="1" applyBorder="1" applyAlignment="1">
      <alignment horizontal="center" vertical="center" wrapText="1"/>
    </xf>
    <xf numFmtId="164" fontId="99" fillId="0" borderId="26" xfId="33" applyNumberFormat="1" applyFont="1" applyBorder="1" applyAlignment="1">
      <alignment vertical="center"/>
    </xf>
    <xf numFmtId="165" fontId="6" fillId="0" borderId="2" xfId="33" applyNumberFormat="1" applyFont="1" applyFill="1" applyBorder="1" applyAlignment="1">
      <alignment horizontal="center" vertical="center" wrapText="1"/>
    </xf>
    <xf numFmtId="165" fontId="6" fillId="0" borderId="18" xfId="33" applyNumberFormat="1" applyFont="1" applyFill="1" applyBorder="1" applyAlignment="1">
      <alignment horizontal="center" vertical="center" wrapText="1"/>
    </xf>
    <xf numFmtId="164" fontId="80" fillId="0" borderId="2" xfId="33" applyNumberFormat="1" applyFont="1" applyBorder="1" applyAlignment="1">
      <alignment vertical="center"/>
    </xf>
    <xf numFmtId="0" fontId="59" fillId="0" borderId="2" xfId="33" applyFont="1" applyBorder="1" applyAlignment="1">
      <alignment horizontal="center" vertical="center" wrapText="1"/>
    </xf>
    <xf numFmtId="2" fontId="59" fillId="0" borderId="2" xfId="33" applyNumberFormat="1" applyFont="1" applyBorder="1" applyAlignment="1">
      <alignment horizontal="center" vertical="center" wrapText="1"/>
    </xf>
    <xf numFmtId="4" fontId="38" fillId="0" borderId="2" xfId="33" applyNumberFormat="1" applyFont="1" applyFill="1" applyBorder="1" applyAlignment="1">
      <alignment wrapText="1"/>
    </xf>
    <xf numFmtId="4" fontId="74" fillId="0" borderId="2" xfId="33" applyNumberFormat="1" applyFont="1" applyBorder="1" applyAlignment="1">
      <alignment vertical="center" wrapText="1"/>
    </xf>
    <xf numFmtId="4" fontId="74" fillId="0" borderId="2" xfId="33" applyNumberFormat="1" applyFont="1" applyFill="1" applyBorder="1" applyAlignment="1">
      <alignment vertical="center" wrapText="1"/>
    </xf>
    <xf numFmtId="2" fontId="6" fillId="0" borderId="2" xfId="33" applyNumberFormat="1" applyFont="1" applyFill="1" applyBorder="1" applyAlignment="1">
      <alignment horizontal="center" vertical="center"/>
    </xf>
    <xf numFmtId="2" fontId="15" fillId="0" borderId="2" xfId="33" applyNumberFormat="1" applyFont="1" applyFill="1" applyBorder="1" applyAlignment="1">
      <alignment horizontal="center" vertical="center"/>
    </xf>
    <xf numFmtId="4" fontId="83" fillId="0" borderId="64" xfId="33" applyNumberFormat="1" applyFont="1" applyFill="1" applyBorder="1" applyAlignment="1">
      <alignment vertical="center"/>
    </xf>
    <xf numFmtId="4" fontId="83" fillId="0" borderId="64" xfId="33" applyNumberFormat="1" applyFont="1" applyFill="1" applyBorder="1" applyAlignment="1">
      <alignment vertical="center"/>
    </xf>
    <xf numFmtId="4" fontId="92" fillId="0" borderId="64" xfId="33" applyNumberFormat="1" applyFont="1" applyFill="1" applyBorder="1" applyAlignment="1">
      <alignment vertical="center"/>
    </xf>
    <xf numFmtId="2" fontId="59" fillId="0" borderId="18" xfId="33" applyNumberFormat="1" applyFont="1" applyFill="1" applyBorder="1" applyAlignment="1">
      <alignment horizontal="center" vertical="center" wrapText="1"/>
    </xf>
    <xf numFmtId="2" fontId="15" fillId="0" borderId="18" xfId="33" applyNumberFormat="1" applyFont="1" applyFill="1" applyBorder="1" applyAlignment="1">
      <alignment horizontal="center" vertical="center" wrapText="1"/>
    </xf>
    <xf numFmtId="4" fontId="93" fillId="0" borderId="64" xfId="33" applyNumberFormat="1" applyFont="1" applyFill="1" applyBorder="1" applyAlignment="1">
      <alignment vertical="center"/>
    </xf>
    <xf numFmtId="169" fontId="59" fillId="0" borderId="0" xfId="33" applyNumberFormat="1" applyFont="1" applyAlignment="1">
      <alignment horizontal="center" vertical="center" wrapText="1"/>
    </xf>
    <xf numFmtId="4" fontId="80" fillId="25" borderId="2" xfId="33" applyNumberFormat="1" applyFont="1" applyFill="1" applyBorder="1" applyAlignment="1">
      <alignment vertical="center" wrapText="1"/>
    </xf>
    <xf numFmtId="164" fontId="99" fillId="0" borderId="26" xfId="33" applyNumberFormat="1" applyFont="1" applyFill="1" applyBorder="1" applyAlignment="1">
      <alignment vertical="center"/>
    </xf>
    <xf numFmtId="164" fontId="99" fillId="0" borderId="2" xfId="33" applyNumberFormat="1" applyFont="1" applyFill="1" applyBorder="1" applyAlignment="1">
      <alignment vertical="center"/>
    </xf>
    <xf numFmtId="170" fontId="35" fillId="0" borderId="30" xfId="23" applyNumberFormat="1" applyFont="1" applyFill="1" applyBorder="1" applyAlignment="1">
      <alignment horizontal="center" vertical="center" wrapText="1"/>
    </xf>
    <xf numFmtId="165" fontId="99" fillId="0" borderId="26" xfId="0" applyNumberFormat="1" applyFont="1" applyBorder="1" applyAlignment="1">
      <alignment vertical="center"/>
    </xf>
    <xf numFmtId="165" fontId="99" fillId="0" borderId="2" xfId="33" applyNumberFormat="1" applyFont="1" applyFill="1" applyBorder="1" applyAlignment="1">
      <alignment vertical="center"/>
    </xf>
    <xf numFmtId="165" fontId="99" fillId="0" borderId="26" xfId="33" applyNumberFormat="1" applyFont="1" applyFill="1" applyBorder="1" applyAlignment="1">
      <alignment vertical="center"/>
    </xf>
    <xf numFmtId="165" fontId="99" fillId="0" borderId="26" xfId="33" applyNumberFormat="1" applyFont="1" applyBorder="1" applyAlignment="1">
      <alignment vertical="center"/>
    </xf>
    <xf numFmtId="165" fontId="80" fillId="0" borderId="2" xfId="33" applyNumberFormat="1" applyFont="1" applyBorder="1" applyAlignment="1">
      <alignment vertical="center"/>
    </xf>
    <xf numFmtId="165" fontId="93" fillId="0" borderId="64" xfId="0" applyNumberFormat="1" applyFont="1" applyFill="1" applyBorder="1" applyAlignment="1">
      <alignment vertical="center"/>
    </xf>
    <xf numFmtId="165" fontId="59" fillId="0" borderId="0" xfId="33" applyNumberFormat="1" applyFont="1" applyAlignment="1">
      <alignment horizontal="center" vertical="center" wrapText="1"/>
    </xf>
    <xf numFmtId="165" fontId="35" fillId="0" borderId="30" xfId="23" applyNumberFormat="1" applyFont="1" applyFill="1" applyBorder="1" applyAlignment="1">
      <alignment horizontal="center" vertical="center" wrapText="1"/>
    </xf>
    <xf numFmtId="165" fontId="92" fillId="0" borderId="64" xfId="0" applyNumberFormat="1" applyFont="1" applyFill="1" applyBorder="1" applyAlignment="1">
      <alignment vertical="center"/>
    </xf>
    <xf numFmtId="165" fontId="35" fillId="5" borderId="27" xfId="23" applyNumberFormat="1" applyFont="1" applyFill="1" applyBorder="1" applyAlignment="1">
      <alignment horizontal="center" vertical="center" wrapText="1"/>
    </xf>
    <xf numFmtId="165" fontId="92" fillId="5" borderId="58" xfId="0" applyNumberFormat="1" applyFont="1" applyFill="1" applyBorder="1" applyAlignment="1">
      <alignment vertical="center"/>
    </xf>
    <xf numFmtId="165" fontId="99" fillId="2" borderId="26" xfId="33" applyNumberFormat="1" applyFont="1" applyFill="1" applyBorder="1" applyAlignment="1">
      <alignment vertical="center"/>
    </xf>
    <xf numFmtId="165" fontId="99" fillId="2" borderId="2" xfId="33" applyNumberFormat="1" applyFont="1" applyFill="1" applyBorder="1" applyAlignment="1">
      <alignment vertical="center"/>
    </xf>
    <xf numFmtId="165" fontId="99" fillId="2" borderId="26" xfId="0" applyNumberFormat="1" applyFont="1" applyFill="1" applyBorder="1" applyAlignment="1">
      <alignment vertical="center"/>
    </xf>
    <xf numFmtId="165" fontId="99" fillId="0" borderId="26" xfId="0" applyNumberFormat="1" applyFont="1" applyFill="1" applyBorder="1" applyAlignment="1">
      <alignment vertical="center"/>
    </xf>
    <xf numFmtId="4" fontId="100" fillId="25" borderId="65" xfId="0" applyNumberFormat="1" applyFont="1" applyFill="1" applyBorder="1" applyAlignment="1">
      <alignment vertical="center" wrapText="1"/>
    </xf>
    <xf numFmtId="4" fontId="100" fillId="25" borderId="64" xfId="0" applyNumberFormat="1" applyFont="1" applyFill="1" applyBorder="1" applyAlignment="1">
      <alignment vertical="center"/>
    </xf>
    <xf numFmtId="4" fontId="53" fillId="25" borderId="2" xfId="0" applyNumberFormat="1" applyFont="1" applyFill="1" applyBorder="1" applyAlignment="1">
      <alignment vertical="center"/>
    </xf>
    <xf numFmtId="164" fontId="80" fillId="0" borderId="2" xfId="0" applyNumberFormat="1" applyFont="1" applyBorder="1" applyAlignment="1">
      <alignment vertical="center"/>
    </xf>
    <xf numFmtId="165" fontId="6" fillId="0" borderId="18" xfId="0" applyNumberFormat="1" applyFont="1" applyFill="1" applyBorder="1" applyAlignment="1">
      <alignment horizontal="center" vertical="center" wrapText="1"/>
    </xf>
    <xf numFmtId="4" fontId="35" fillId="0" borderId="30" xfId="23" applyNumberFormat="1" applyFont="1" applyFill="1" applyBorder="1" applyAlignment="1">
      <alignment horizontal="center" vertical="center" wrapText="1"/>
    </xf>
    <xf numFmtId="4" fontId="74" fillId="25" borderId="2" xfId="0" applyNumberFormat="1" applyFont="1" applyFill="1" applyBorder="1" applyAlignment="1">
      <alignment vertical="center" wrapText="1"/>
    </xf>
    <xf numFmtId="4" fontId="88" fillId="17" borderId="64" xfId="0" applyNumberFormat="1" applyFont="1" applyFill="1" applyBorder="1" applyAlignment="1">
      <alignment vertical="center"/>
    </xf>
    <xf numFmtId="4" fontId="89" fillId="17" borderId="2" xfId="0" applyNumberFormat="1" applyFont="1" applyFill="1" applyBorder="1" applyAlignment="1">
      <alignment vertical="center" wrapText="1"/>
    </xf>
    <xf numFmtId="165" fontId="73" fillId="0" borderId="30" xfId="23" applyNumberFormat="1" applyFont="1" applyFill="1" applyBorder="1" applyAlignment="1">
      <alignment horizontal="center" vertical="center" wrapText="1"/>
    </xf>
    <xf numFmtId="4" fontId="73" fillId="0" borderId="30" xfId="23" applyNumberFormat="1" applyFont="1" applyFill="1" applyBorder="1" applyAlignment="1">
      <alignment horizontal="center" vertical="center" wrapText="1"/>
    </xf>
    <xf numFmtId="169" fontId="79" fillId="0" borderId="0" xfId="0" applyNumberFormat="1" applyFont="1" applyAlignment="1">
      <alignment horizontal="center" vertical="center" wrapText="1"/>
    </xf>
    <xf numFmtId="4" fontId="74" fillId="13" borderId="2" xfId="0" applyNumberFormat="1" applyFont="1" applyFill="1" applyBorder="1" applyAlignment="1">
      <alignment vertical="center" wrapText="1"/>
    </xf>
    <xf numFmtId="0" fontId="101" fillId="0" borderId="8" xfId="0" applyFont="1" applyBorder="1" applyAlignment="1">
      <alignment horizontal="right" vertical="top" wrapText="1"/>
    </xf>
    <xf numFmtId="0" fontId="101" fillId="0" borderId="7" xfId="0" applyFont="1" applyBorder="1" applyAlignment="1">
      <alignment horizontal="right" vertical="top" wrapText="1"/>
    </xf>
    <xf numFmtId="4" fontId="74" fillId="0" borderId="26" xfId="0" applyNumberFormat="1" applyFont="1" applyBorder="1" applyAlignment="1">
      <alignment vertical="center" wrapText="1"/>
    </xf>
    <xf numFmtId="165" fontId="90" fillId="17" borderId="71" xfId="0" applyNumberFormat="1" applyFont="1" applyFill="1" applyBorder="1" applyAlignment="1">
      <alignment vertical="center"/>
    </xf>
    <xf numFmtId="2" fontId="6" fillId="0" borderId="0" xfId="33" applyNumberFormat="1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 wrapText="1"/>
    </xf>
    <xf numFmtId="0" fontId="59" fillId="0" borderId="73" xfId="0" applyFont="1" applyFill="1" applyBorder="1" applyAlignment="1">
      <alignment horizontal="center" vertical="center" wrapText="1"/>
    </xf>
    <xf numFmtId="0" fontId="59" fillId="18" borderId="4" xfId="0" applyFont="1" applyFill="1" applyBorder="1" applyAlignment="1">
      <alignment horizontal="center" vertical="center" wrapText="1"/>
    </xf>
    <xf numFmtId="0" fontId="59" fillId="18" borderId="73" xfId="0" applyFont="1" applyFill="1" applyBorder="1" applyAlignment="1">
      <alignment horizontal="center" vertical="center" wrapText="1"/>
    </xf>
    <xf numFmtId="4" fontId="38" fillId="0" borderId="2" xfId="0" applyNumberFormat="1" applyFont="1" applyFill="1" applyBorder="1" applyAlignment="1">
      <alignment vertical="center" wrapText="1"/>
    </xf>
    <xf numFmtId="4" fontId="38" fillId="17" borderId="2" xfId="0" applyNumberFormat="1" applyFont="1" applyFill="1" applyBorder="1" applyAlignment="1">
      <alignment vertical="center" wrapText="1"/>
    </xf>
    <xf numFmtId="0" fontId="59" fillId="18" borderId="47" xfId="0" applyFont="1" applyFill="1" applyBorder="1" applyAlignment="1">
      <alignment horizontal="center" vertical="center" wrapText="1"/>
    </xf>
    <xf numFmtId="0" fontId="59" fillId="18" borderId="74" xfId="0" applyFont="1" applyFill="1" applyBorder="1" applyAlignment="1">
      <alignment horizontal="center" vertical="center" wrapText="1"/>
    </xf>
    <xf numFmtId="0" fontId="59" fillId="0" borderId="20" xfId="0" applyFont="1" applyFill="1" applyBorder="1" applyAlignment="1">
      <alignment horizontal="center" vertical="center" wrapText="1"/>
    </xf>
    <xf numFmtId="0" fontId="59" fillId="0" borderId="82" xfId="0" applyFont="1" applyFill="1" applyBorder="1" applyAlignment="1">
      <alignment horizontal="center" vertical="center" wrapText="1"/>
    </xf>
    <xf numFmtId="4" fontId="102" fillId="0" borderId="2" xfId="0" applyNumberFormat="1" applyFont="1" applyFill="1" applyBorder="1" applyAlignment="1">
      <alignment vertical="center" wrapText="1"/>
    </xf>
    <xf numFmtId="4" fontId="102" fillId="0" borderId="2" xfId="0" applyNumberFormat="1" applyFont="1" applyFill="1" applyBorder="1" applyAlignment="1">
      <alignment wrapText="1"/>
    </xf>
    <xf numFmtId="4" fontId="62" fillId="17" borderId="2" xfId="0" applyNumberFormat="1" applyFont="1" applyFill="1" applyBorder="1" applyAlignment="1">
      <alignment vertical="center" wrapText="1"/>
    </xf>
    <xf numFmtId="4" fontId="53" fillId="17" borderId="2" xfId="0" applyNumberFormat="1" applyFont="1" applyFill="1" applyBorder="1" applyAlignment="1">
      <alignment vertical="center"/>
    </xf>
    <xf numFmtId="4" fontId="62" fillId="0" borderId="2" xfId="0" applyNumberFormat="1" applyFont="1" applyBorder="1" applyAlignment="1">
      <alignment vertical="center" wrapText="1"/>
    </xf>
    <xf numFmtId="0" fontId="59" fillId="0" borderId="4" xfId="0" applyFont="1" applyFill="1" applyBorder="1" applyAlignment="1">
      <alignment horizontal="center" vertical="center" wrapText="1"/>
    </xf>
    <xf numFmtId="0" fontId="59" fillId="18" borderId="4" xfId="0" applyFont="1" applyFill="1" applyBorder="1" applyAlignment="1">
      <alignment horizontal="center" vertical="center" wrapText="1"/>
    </xf>
    <xf numFmtId="0" fontId="59" fillId="18" borderId="73" xfId="0" applyFont="1" applyFill="1" applyBorder="1" applyAlignment="1">
      <alignment horizontal="center" vertical="center" wrapText="1"/>
    </xf>
    <xf numFmtId="0" fontId="59" fillId="0" borderId="73" xfId="0" applyFont="1" applyFill="1" applyBorder="1" applyAlignment="1">
      <alignment horizontal="center" vertical="center" wrapText="1"/>
    </xf>
    <xf numFmtId="2" fontId="0" fillId="13" borderId="8" xfId="0" applyNumberFormat="1" applyFill="1" applyBorder="1"/>
    <xf numFmtId="2" fontId="30" fillId="2" borderId="5" xfId="0" applyNumberFormat="1" applyFont="1" applyFill="1" applyBorder="1" applyAlignment="1">
      <alignment shrinkToFit="1"/>
    </xf>
    <xf numFmtId="165" fontId="15" fillId="2" borderId="2" xfId="0" applyNumberFormat="1" applyFont="1" applyFill="1" applyBorder="1" applyAlignment="1">
      <alignment horizontal="center" vertical="center" wrapText="1"/>
    </xf>
    <xf numFmtId="165" fontId="15" fillId="0" borderId="2" xfId="33" applyNumberFormat="1" applyFont="1" applyFill="1" applyBorder="1" applyAlignment="1">
      <alignment horizontal="center" vertical="center" wrapText="1"/>
    </xf>
    <xf numFmtId="164" fontId="91" fillId="0" borderId="2" xfId="0" applyNumberFormat="1" applyFont="1" applyBorder="1" applyAlignment="1">
      <alignment vertical="center"/>
    </xf>
    <xf numFmtId="165" fontId="15" fillId="0" borderId="18" xfId="0" applyNumberFormat="1" applyFont="1" applyFill="1" applyBorder="1" applyAlignment="1">
      <alignment horizontal="center" vertical="center" wrapText="1"/>
    </xf>
    <xf numFmtId="165" fontId="15" fillId="0" borderId="18" xfId="0" applyNumberFormat="1" applyFont="1" applyFill="1" applyBorder="1" applyAlignment="1">
      <alignment vertical="center" wrapText="1"/>
    </xf>
    <xf numFmtId="0" fontId="15" fillId="0" borderId="2" xfId="33" applyFont="1" applyBorder="1" applyAlignment="1">
      <alignment horizontal="center" vertical="center" wrapText="1"/>
    </xf>
    <xf numFmtId="2" fontId="15" fillId="0" borderId="2" xfId="33" applyNumberFormat="1" applyFont="1" applyBorder="1" applyAlignment="1">
      <alignment horizontal="center" vertical="center" wrapText="1"/>
    </xf>
    <xf numFmtId="4" fontId="94" fillId="0" borderId="2" xfId="0" applyNumberFormat="1" applyFont="1" applyBorder="1" applyAlignment="1">
      <alignment vertical="center" wrapText="1"/>
    </xf>
    <xf numFmtId="4" fontId="94" fillId="0" borderId="54" xfId="0" applyNumberFormat="1" applyFont="1" applyBorder="1" applyAlignment="1">
      <alignment vertical="center" wrapText="1"/>
    </xf>
    <xf numFmtId="4" fontId="103" fillId="0" borderId="2" xfId="0" applyNumberFormat="1" applyFont="1" applyFill="1" applyBorder="1" applyAlignment="1">
      <alignment wrapText="1"/>
    </xf>
    <xf numFmtId="4" fontId="94" fillId="0" borderId="2" xfId="0" applyNumberFormat="1" applyFont="1" applyFill="1" applyBorder="1" applyAlignment="1">
      <alignment vertical="center" wrapText="1"/>
    </xf>
    <xf numFmtId="4" fontId="91" fillId="0" borderId="2" xfId="0" applyNumberFormat="1" applyFont="1" applyFill="1" applyBorder="1" applyAlignment="1">
      <alignment vertical="center" wrapText="1"/>
    </xf>
    <xf numFmtId="4" fontId="103" fillId="0" borderId="2" xfId="0" applyNumberFormat="1" applyFont="1" applyFill="1" applyBorder="1" applyAlignment="1">
      <alignment vertical="center" wrapText="1"/>
    </xf>
    <xf numFmtId="2" fontId="15" fillId="0" borderId="0" xfId="33" applyNumberFormat="1" applyFont="1" applyFill="1" applyBorder="1" applyAlignment="1">
      <alignment horizontal="center" vertical="center"/>
    </xf>
    <xf numFmtId="169" fontId="15" fillId="0" borderId="0" xfId="0" applyNumberFormat="1" applyFont="1" applyAlignment="1">
      <alignment horizontal="center" vertical="center" wrapText="1"/>
    </xf>
    <xf numFmtId="165" fontId="94" fillId="0" borderId="2" xfId="0" applyNumberFormat="1" applyFont="1" applyFill="1" applyBorder="1" applyAlignment="1">
      <alignment vertical="center"/>
    </xf>
    <xf numFmtId="4" fontId="89" fillId="25" borderId="2" xfId="0" applyNumberFormat="1" applyFont="1" applyFill="1" applyBorder="1" applyAlignment="1">
      <alignment vertical="center" wrapText="1"/>
    </xf>
    <xf numFmtId="165" fontId="73" fillId="5" borderId="27" xfId="23" applyNumberFormat="1" applyFont="1" applyFill="1" applyBorder="1" applyAlignment="1">
      <alignment horizontal="center" vertical="center" wrapText="1"/>
    </xf>
    <xf numFmtId="170" fontId="73" fillId="5" borderId="27" xfId="23" applyNumberFormat="1" applyFont="1" applyFill="1" applyBorder="1" applyAlignment="1">
      <alignment horizontal="center" vertical="center" wrapText="1"/>
    </xf>
    <xf numFmtId="170" fontId="73" fillId="0" borderId="33" xfId="23" applyNumberFormat="1" applyFont="1" applyFill="1" applyBorder="1" applyAlignment="1">
      <alignment horizontal="center" vertical="center" wrapText="1"/>
    </xf>
    <xf numFmtId="165" fontId="15" fillId="2" borderId="2" xfId="33" applyNumberFormat="1" applyFont="1" applyFill="1" applyBorder="1" applyAlignment="1">
      <alignment horizontal="center" vertical="center" wrapText="1"/>
    </xf>
    <xf numFmtId="4" fontId="104" fillId="25" borderId="2" xfId="0" applyNumberFormat="1" applyFont="1" applyFill="1" applyBorder="1" applyAlignment="1">
      <alignment vertical="center"/>
    </xf>
    <xf numFmtId="170" fontId="35" fillId="5" borderId="33" xfId="24" applyNumberFormat="1" applyFont="1" applyFill="1" applyBorder="1" applyAlignment="1">
      <alignment horizontal="center" vertical="center" wrapText="1"/>
    </xf>
    <xf numFmtId="170" fontId="35" fillId="0" borderId="33" xfId="24" applyNumberFormat="1" applyFont="1" applyFill="1" applyBorder="1" applyAlignment="1">
      <alignment horizontal="center" vertical="center" wrapText="1"/>
    </xf>
    <xf numFmtId="165" fontId="35" fillId="5" borderId="32" xfId="24" applyNumberFormat="1" applyFont="1" applyFill="1" applyBorder="1" applyAlignment="1">
      <alignment vertical="center"/>
    </xf>
    <xf numFmtId="170" fontId="35" fillId="5" borderId="5" xfId="24" applyNumberFormat="1" applyFont="1" applyFill="1" applyBorder="1" applyAlignment="1">
      <alignment horizontal="center" vertical="center" wrapText="1"/>
    </xf>
    <xf numFmtId="170" fontId="35" fillId="0" borderId="5" xfId="24" applyNumberFormat="1" applyFont="1" applyFill="1" applyBorder="1" applyAlignment="1">
      <alignment horizontal="center" vertical="center" wrapText="1"/>
    </xf>
    <xf numFmtId="165" fontId="73" fillId="5" borderId="27" xfId="24" applyNumberFormat="1" applyFont="1" applyFill="1" applyBorder="1" applyAlignment="1">
      <alignment horizontal="center" vertical="center" wrapText="1"/>
    </xf>
    <xf numFmtId="165" fontId="73" fillId="0" borderId="30" xfId="24" applyNumberFormat="1" applyFont="1" applyFill="1" applyBorder="1" applyAlignment="1">
      <alignment horizontal="center" vertical="center" wrapText="1"/>
    </xf>
    <xf numFmtId="165" fontId="35" fillId="5" borderId="30" xfId="24" applyNumberFormat="1" applyFont="1" applyFill="1" applyBorder="1" applyAlignment="1">
      <alignment horizontal="center" vertical="center" wrapText="1"/>
    </xf>
    <xf numFmtId="2" fontId="15" fillId="0" borderId="18" xfId="0" applyNumberFormat="1" applyFont="1" applyFill="1" applyBorder="1" applyAlignment="1">
      <alignment horizontal="center" vertical="center" wrapText="1"/>
    </xf>
    <xf numFmtId="170" fontId="35" fillId="5" borderId="27" xfId="24" applyNumberFormat="1" applyFont="1" applyFill="1" applyBorder="1" applyAlignment="1">
      <alignment horizontal="center" vertical="center" wrapText="1"/>
    </xf>
    <xf numFmtId="4" fontId="62" fillId="25" borderId="2" xfId="0" applyNumberFormat="1" applyFont="1" applyFill="1" applyBorder="1" applyAlignment="1">
      <alignment vertical="center"/>
    </xf>
    <xf numFmtId="4" fontId="94" fillId="17" borderId="2" xfId="0" applyNumberFormat="1" applyFont="1" applyFill="1" applyBorder="1" applyAlignment="1">
      <alignment vertical="center" wrapText="1"/>
    </xf>
    <xf numFmtId="4" fontId="74" fillId="0" borderId="54" xfId="0" applyNumberFormat="1" applyFont="1" applyBorder="1" applyAlignment="1">
      <alignment vertical="center" wrapText="1"/>
    </xf>
    <xf numFmtId="4" fontId="93" fillId="0" borderId="22" xfId="0" applyNumberFormat="1" applyFont="1" applyFill="1" applyBorder="1" applyAlignment="1">
      <alignment horizontal="right" vertical="center" wrapText="1"/>
    </xf>
    <xf numFmtId="4" fontId="74" fillId="17" borderId="54" xfId="0" applyNumberFormat="1" applyFont="1" applyFill="1" applyBorder="1" applyAlignment="1">
      <alignment vertical="center" wrapText="1"/>
    </xf>
    <xf numFmtId="0" fontId="59" fillId="18" borderId="4" xfId="0" applyFont="1" applyFill="1" applyBorder="1" applyAlignment="1">
      <alignment horizontal="center" vertical="center" wrapText="1"/>
    </xf>
    <xf numFmtId="0" fontId="59" fillId="18" borderId="73" xfId="0" applyFont="1" applyFill="1" applyBorder="1" applyAlignment="1">
      <alignment horizontal="center" vertical="center" wrapText="1"/>
    </xf>
    <xf numFmtId="4" fontId="35" fillId="0" borderId="27" xfId="24" applyNumberFormat="1" applyFont="1" applyFill="1" applyBorder="1" applyAlignment="1">
      <alignment horizontal="center" vertical="center" wrapText="1"/>
    </xf>
    <xf numFmtId="169" fontId="59" fillId="0" borderId="0" xfId="0" applyNumberFormat="1" applyFont="1" applyFill="1" applyBorder="1" applyAlignment="1">
      <alignment horizontal="center" vertical="center" wrapText="1"/>
    </xf>
    <xf numFmtId="165" fontId="73" fillId="0" borderId="27" xfId="24" applyNumberFormat="1" applyFont="1" applyFill="1" applyBorder="1" applyAlignment="1">
      <alignment horizontal="center" vertical="center" wrapText="1"/>
    </xf>
    <xf numFmtId="170" fontId="35" fillId="0" borderId="27" xfId="24" applyNumberFormat="1" applyFont="1" applyFill="1" applyBorder="1" applyAlignment="1">
      <alignment horizontal="center" vertical="center" wrapText="1"/>
    </xf>
    <xf numFmtId="165" fontId="6" fillId="2" borderId="2" xfId="46" applyNumberFormat="1" applyFont="1" applyFill="1" applyBorder="1" applyAlignment="1">
      <alignment horizontal="center" vertical="center" wrapText="1"/>
    </xf>
    <xf numFmtId="4" fontId="89" fillId="0" borderId="2" xfId="46" applyNumberFormat="1" applyFont="1" applyFill="1" applyBorder="1" applyAlignment="1">
      <alignment vertical="center" wrapText="1"/>
    </xf>
    <xf numFmtId="2" fontId="15" fillId="0" borderId="0" xfId="0" applyNumberFormat="1" applyFont="1" applyFill="1" applyBorder="1" applyAlignment="1">
      <alignment horizontal="center" vertical="center"/>
    </xf>
    <xf numFmtId="164" fontId="99" fillId="2" borderId="26" xfId="46" applyNumberFormat="1" applyFont="1" applyFill="1" applyBorder="1" applyAlignment="1">
      <alignment vertical="center"/>
    </xf>
    <xf numFmtId="4" fontId="62" fillId="0" borderId="2" xfId="46" applyNumberFormat="1" applyFont="1" applyBorder="1" applyAlignment="1">
      <alignment vertical="center" wrapText="1"/>
    </xf>
    <xf numFmtId="4" fontId="106" fillId="0" borderId="84" xfId="0" applyNumberFormat="1" applyFont="1" applyFill="1" applyBorder="1" applyAlignment="1">
      <alignment horizontal="center" vertical="center" wrapText="1"/>
    </xf>
    <xf numFmtId="4" fontId="62" fillId="17" borderId="2" xfId="46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4" fontId="102" fillId="0" borderId="2" xfId="46" applyNumberFormat="1" applyFont="1" applyFill="1" applyBorder="1" applyAlignment="1">
      <alignment vertical="center" wrapText="1"/>
    </xf>
    <xf numFmtId="4" fontId="102" fillId="0" borderId="2" xfId="46" applyNumberFormat="1" applyFont="1" applyFill="1" applyBorder="1" applyAlignment="1">
      <alignment wrapText="1"/>
    </xf>
    <xf numFmtId="4" fontId="106" fillId="0" borderId="83" xfId="0" applyNumberFormat="1" applyFont="1" applyFill="1" applyBorder="1" applyAlignment="1">
      <alignment horizontal="center" vertical="center" wrapText="1"/>
    </xf>
    <xf numFmtId="165" fontId="6" fillId="0" borderId="2" xfId="46" applyNumberFormat="1" applyFont="1" applyFill="1" applyBorder="1" applyAlignment="1">
      <alignment horizontal="center" vertical="center" wrapText="1"/>
    </xf>
    <xf numFmtId="164" fontId="99" fillId="0" borderId="2" xfId="46" applyNumberFormat="1" applyFont="1" applyBorder="1" applyAlignment="1">
      <alignment vertical="center"/>
    </xf>
    <xf numFmtId="164" fontId="99" fillId="0" borderId="26" xfId="46" applyNumberFormat="1" applyFont="1" applyBorder="1" applyAlignment="1">
      <alignment vertical="center"/>
    </xf>
    <xf numFmtId="165" fontId="6" fillId="0" borderId="2" xfId="46" applyNumberFormat="1" applyFont="1" applyFill="1" applyBorder="1" applyAlignment="1">
      <alignment horizontal="center" vertical="center" wrapText="1"/>
    </xf>
    <xf numFmtId="164" fontId="99" fillId="0" borderId="2" xfId="46" applyNumberFormat="1" applyFont="1" applyBorder="1" applyAlignment="1">
      <alignment vertical="center"/>
    </xf>
    <xf numFmtId="165" fontId="6" fillId="0" borderId="2" xfId="46" applyNumberFormat="1" applyFont="1" applyFill="1" applyBorder="1" applyAlignment="1">
      <alignment horizontal="center" vertical="center" wrapText="1"/>
    </xf>
    <xf numFmtId="164" fontId="99" fillId="0" borderId="26" xfId="46" applyNumberFormat="1" applyFont="1" applyBorder="1" applyAlignment="1">
      <alignment vertical="center"/>
    </xf>
    <xf numFmtId="165" fontId="6" fillId="0" borderId="2" xfId="46" applyNumberFormat="1" applyFont="1" applyFill="1" applyBorder="1" applyAlignment="1">
      <alignment horizontal="center" vertical="center" wrapText="1"/>
    </xf>
    <xf numFmtId="165" fontId="6" fillId="0" borderId="18" xfId="46" applyNumberFormat="1" applyFont="1" applyFill="1" applyBorder="1" applyAlignment="1">
      <alignment horizontal="center" vertical="center" wrapText="1"/>
    </xf>
    <xf numFmtId="164" fontId="80" fillId="0" borderId="2" xfId="46" applyNumberFormat="1" applyFont="1" applyBorder="1" applyAlignment="1">
      <alignment vertical="center"/>
    </xf>
    <xf numFmtId="0" fontId="59" fillId="0" borderId="2" xfId="46" applyFont="1" applyBorder="1" applyAlignment="1">
      <alignment horizontal="center" vertical="center" wrapText="1"/>
    </xf>
    <xf numFmtId="2" fontId="59" fillId="0" borderId="2" xfId="46" applyNumberFormat="1" applyFont="1" applyBorder="1" applyAlignment="1">
      <alignment horizontal="center" vertical="center" wrapText="1"/>
    </xf>
    <xf numFmtId="4" fontId="74" fillId="0" borderId="2" xfId="46" applyNumberFormat="1" applyFont="1" applyBorder="1" applyAlignment="1">
      <alignment vertical="center" wrapText="1"/>
    </xf>
    <xf numFmtId="2" fontId="6" fillId="0" borderId="2" xfId="46" applyNumberFormat="1" applyFont="1" applyFill="1" applyBorder="1" applyAlignment="1">
      <alignment horizontal="center" vertical="center"/>
    </xf>
    <xf numFmtId="4" fontId="38" fillId="17" borderId="2" xfId="46" applyNumberFormat="1" applyFont="1" applyFill="1" applyBorder="1" applyAlignment="1">
      <alignment wrapText="1"/>
    </xf>
    <xf numFmtId="2" fontId="6" fillId="0" borderId="2" xfId="46" applyNumberFormat="1" applyFont="1" applyFill="1" applyBorder="1" applyAlignment="1">
      <alignment horizontal="center" vertical="center"/>
    </xf>
    <xf numFmtId="2" fontId="15" fillId="0" borderId="2" xfId="46" applyNumberFormat="1" applyFont="1" applyFill="1" applyBorder="1" applyAlignment="1">
      <alignment horizontal="center" vertical="center"/>
    </xf>
    <xf numFmtId="2" fontId="6" fillId="17" borderId="2" xfId="46" applyNumberFormat="1" applyFont="1" applyFill="1" applyBorder="1" applyAlignment="1">
      <alignment horizontal="center" vertical="center"/>
    </xf>
    <xf numFmtId="4" fontId="83" fillId="0" borderId="64" xfId="46" applyNumberFormat="1" applyFont="1" applyFill="1" applyBorder="1" applyAlignment="1">
      <alignment vertical="center"/>
    </xf>
    <xf numFmtId="4" fontId="83" fillId="0" borderId="64" xfId="46" applyNumberFormat="1" applyFont="1" applyFill="1" applyBorder="1" applyAlignment="1">
      <alignment vertical="center"/>
    </xf>
    <xf numFmtId="4" fontId="92" fillId="0" borderId="64" xfId="46" applyNumberFormat="1" applyFont="1" applyFill="1" applyBorder="1" applyAlignment="1">
      <alignment vertical="center"/>
    </xf>
    <xf numFmtId="2" fontId="59" fillId="0" borderId="18" xfId="46" applyNumberFormat="1" applyFont="1" applyFill="1" applyBorder="1" applyAlignment="1">
      <alignment horizontal="center" vertical="center" wrapText="1"/>
    </xf>
    <xf numFmtId="2" fontId="15" fillId="0" borderId="18" xfId="46" applyNumberFormat="1" applyFont="1" applyFill="1" applyBorder="1" applyAlignment="1">
      <alignment horizontal="center" vertical="center" wrapText="1"/>
    </xf>
    <xf numFmtId="4" fontId="93" fillId="0" borderId="22" xfId="46" applyNumberFormat="1" applyFont="1" applyFill="1" applyBorder="1" applyAlignment="1">
      <alignment horizontal="right" vertical="center" wrapText="1"/>
    </xf>
    <xf numFmtId="169" fontId="59" fillId="0" borderId="0" xfId="46" applyNumberFormat="1" applyFont="1" applyAlignment="1">
      <alignment horizontal="center" vertical="center" wrapText="1"/>
    </xf>
    <xf numFmtId="4" fontId="80" fillId="17" borderId="2" xfId="46" applyNumberFormat="1" applyFont="1" applyFill="1" applyBorder="1" applyAlignment="1">
      <alignment vertical="center" wrapText="1"/>
    </xf>
    <xf numFmtId="4" fontId="80" fillId="17" borderId="2" xfId="46" applyNumberFormat="1" applyFont="1" applyFill="1" applyBorder="1" applyAlignment="1">
      <alignment vertical="center" wrapText="1"/>
    </xf>
    <xf numFmtId="4" fontId="89" fillId="17" borderId="2" xfId="46" applyNumberFormat="1" applyFont="1" applyFill="1" applyBorder="1" applyAlignment="1">
      <alignment vertical="center" wrapText="1"/>
    </xf>
    <xf numFmtId="4" fontId="73" fillId="0" borderId="27" xfId="24" applyNumberFormat="1" applyFont="1" applyFill="1" applyBorder="1" applyAlignment="1">
      <alignment horizontal="center" vertical="center" wrapText="1"/>
    </xf>
    <xf numFmtId="4" fontId="90" fillId="0" borderId="22" xfId="0" applyNumberFormat="1" applyFont="1" applyFill="1" applyBorder="1" applyAlignment="1">
      <alignment horizontal="right" vertical="center" wrapText="1"/>
    </xf>
    <xf numFmtId="169" fontId="79" fillId="0" borderId="0" xfId="46" applyNumberFormat="1" applyFont="1" applyAlignment="1">
      <alignment horizontal="center" vertical="center" wrapText="1"/>
    </xf>
    <xf numFmtId="170" fontId="73" fillId="5" borderId="33" xfId="24" applyNumberFormat="1" applyFont="1" applyFill="1" applyBorder="1" applyAlignment="1">
      <alignment horizontal="center" vertical="center" wrapText="1"/>
    </xf>
    <xf numFmtId="169" fontId="79" fillId="0" borderId="0" xfId="0" applyNumberFormat="1" applyFont="1" applyFill="1" applyBorder="1" applyAlignment="1">
      <alignment horizontal="center" vertical="center" wrapText="1"/>
    </xf>
    <xf numFmtId="164" fontId="99" fillId="0" borderId="2" xfId="46" applyNumberFormat="1" applyFont="1" applyFill="1" applyBorder="1" applyAlignment="1">
      <alignment vertical="center"/>
    </xf>
    <xf numFmtId="164" fontId="99" fillId="0" borderId="26" xfId="46" applyNumberFormat="1" applyFont="1" applyFill="1" applyBorder="1" applyAlignment="1">
      <alignment vertical="center"/>
    </xf>
    <xf numFmtId="164" fontId="99" fillId="2" borderId="2" xfId="46" applyNumberFormat="1" applyFont="1" applyFill="1" applyBorder="1" applyAlignment="1">
      <alignment vertical="center"/>
    </xf>
    <xf numFmtId="4" fontId="91" fillId="21" borderId="2" xfId="0" applyNumberFormat="1" applyFont="1" applyFill="1" applyBorder="1" applyAlignment="1">
      <alignment vertical="center" wrapText="1"/>
    </xf>
    <xf numFmtId="0" fontId="59" fillId="18" borderId="4" xfId="0" applyFont="1" applyFill="1" applyBorder="1" applyAlignment="1">
      <alignment horizontal="center" vertical="center" wrapText="1"/>
    </xf>
    <xf numFmtId="0" fontId="59" fillId="18" borderId="73" xfId="0" applyFont="1" applyFill="1" applyBorder="1" applyAlignment="1">
      <alignment horizontal="center" vertical="center" wrapText="1"/>
    </xf>
    <xf numFmtId="164" fontId="107" fillId="2" borderId="2" xfId="46" applyNumberFormat="1" applyFont="1" applyFill="1" applyBorder="1" applyAlignment="1">
      <alignment vertical="center"/>
    </xf>
    <xf numFmtId="165" fontId="82" fillId="2" borderId="2" xfId="46" applyNumberFormat="1" applyFont="1" applyFill="1" applyBorder="1" applyAlignment="1">
      <alignment horizontal="center" vertical="center" wrapText="1"/>
    </xf>
    <xf numFmtId="164" fontId="107" fillId="2" borderId="26" xfId="46" applyNumberFormat="1" applyFont="1" applyFill="1" applyBorder="1" applyAlignment="1">
      <alignment vertical="center"/>
    </xf>
    <xf numFmtId="164" fontId="107" fillId="0" borderId="2" xfId="46" applyNumberFormat="1" applyFont="1" applyFill="1" applyBorder="1" applyAlignment="1">
      <alignment vertical="center"/>
    </xf>
    <xf numFmtId="165" fontId="82" fillId="0" borderId="2" xfId="46" applyNumberFormat="1" applyFont="1" applyFill="1" applyBorder="1" applyAlignment="1">
      <alignment horizontal="center" vertical="center" wrapText="1"/>
    </xf>
    <xf numFmtId="164" fontId="107" fillId="0" borderId="26" xfId="46" applyNumberFormat="1" applyFont="1" applyFill="1" applyBorder="1" applyAlignment="1">
      <alignment vertical="center"/>
    </xf>
    <xf numFmtId="170" fontId="44" fillId="2" borderId="16" xfId="0" applyNumberFormat="1" applyFont="1" applyFill="1" applyBorder="1" applyAlignment="1"/>
    <xf numFmtId="164" fontId="81" fillId="0" borderId="2" xfId="0" applyNumberFormat="1" applyFont="1" applyBorder="1" applyAlignment="1">
      <alignment vertical="center"/>
    </xf>
    <xf numFmtId="165" fontId="82" fillId="0" borderId="2" xfId="0" applyNumberFormat="1" applyFont="1" applyFill="1" applyBorder="1" applyAlignment="1">
      <alignment horizontal="center" vertical="center" wrapText="1"/>
    </xf>
    <xf numFmtId="165" fontId="82" fillId="0" borderId="18" xfId="0" applyNumberFormat="1" applyFont="1" applyFill="1" applyBorder="1" applyAlignment="1">
      <alignment horizontal="center" vertical="center" wrapText="1"/>
    </xf>
    <xf numFmtId="164" fontId="81" fillId="0" borderId="2" xfId="46" applyNumberFormat="1" applyFont="1" applyBorder="1" applyAlignment="1">
      <alignment vertical="center"/>
    </xf>
    <xf numFmtId="165" fontId="44" fillId="2" borderId="7" xfId="0" applyNumberFormat="1" applyFont="1" applyFill="1" applyBorder="1" applyAlignment="1"/>
    <xf numFmtId="170" fontId="44" fillId="2" borderId="7" xfId="0" applyNumberFormat="1" applyFont="1" applyFill="1" applyBorder="1" applyAlignment="1"/>
    <xf numFmtId="165" fontId="40" fillId="0" borderId="10" xfId="0" applyNumberFormat="1" applyFont="1" applyBorder="1"/>
    <xf numFmtId="170" fontId="40" fillId="0" borderId="5" xfId="0" applyNumberFormat="1" applyFont="1" applyBorder="1"/>
    <xf numFmtId="165" fontId="82" fillId="0" borderId="18" xfId="0" applyNumberFormat="1" applyFont="1" applyFill="1" applyBorder="1" applyAlignment="1">
      <alignment vertical="center" wrapText="1"/>
    </xf>
    <xf numFmtId="170" fontId="44" fillId="2" borderId="8" xfId="0" applyNumberFormat="1" applyFont="1" applyFill="1" applyBorder="1" applyAlignment="1"/>
    <xf numFmtId="165" fontId="40" fillId="0" borderId="9" xfId="0" applyNumberFormat="1" applyFont="1" applyBorder="1" applyAlignment="1">
      <alignment wrapText="1"/>
    </xf>
    <xf numFmtId="0" fontId="82" fillId="0" borderId="2" xfId="46" applyFont="1" applyBorder="1" applyAlignment="1">
      <alignment horizontal="center" vertical="center" wrapText="1"/>
    </xf>
    <xf numFmtId="165" fontId="40" fillId="0" borderId="10" xfId="0" applyNumberFormat="1" applyFont="1" applyBorder="1" applyAlignment="1">
      <alignment wrapText="1"/>
    </xf>
    <xf numFmtId="2" fontId="82" fillId="0" borderId="2" xfId="46" applyNumberFormat="1" applyFont="1" applyBorder="1" applyAlignment="1">
      <alignment horizontal="center" vertical="center" wrapText="1"/>
    </xf>
    <xf numFmtId="165" fontId="40" fillId="0" borderId="11" xfId="0" applyNumberFormat="1" applyFont="1" applyBorder="1" applyAlignment="1">
      <alignment wrapText="1"/>
    </xf>
    <xf numFmtId="4" fontId="104" fillId="17" borderId="2" xfId="0" applyNumberFormat="1" applyFont="1" applyFill="1" applyBorder="1" applyAlignment="1">
      <alignment vertical="center" wrapText="1"/>
    </xf>
    <xf numFmtId="2" fontId="82" fillId="0" borderId="2" xfId="46" applyNumberFormat="1" applyFont="1" applyFill="1" applyBorder="1" applyAlignment="1">
      <alignment horizontal="center" vertical="center"/>
    </xf>
    <xf numFmtId="4" fontId="104" fillId="17" borderId="26" xfId="0" applyNumberFormat="1" applyFont="1" applyFill="1" applyBorder="1" applyAlignment="1">
      <alignment vertical="center" wrapText="1"/>
    </xf>
    <xf numFmtId="4" fontId="81" fillId="0" borderId="2" xfId="0" applyNumberFormat="1" applyFont="1" applyFill="1" applyBorder="1" applyAlignment="1">
      <alignment vertical="center" wrapText="1"/>
    </xf>
    <xf numFmtId="0" fontId="0" fillId="0" borderId="0" xfId="0" applyFont="1"/>
    <xf numFmtId="4" fontId="108" fillId="17" borderId="2" xfId="0" applyNumberFormat="1" applyFont="1" applyFill="1" applyBorder="1" applyAlignment="1">
      <alignment vertical="center" wrapText="1"/>
    </xf>
    <xf numFmtId="4" fontId="108" fillId="0" borderId="2" xfId="0" applyNumberFormat="1" applyFont="1" applyFill="1" applyBorder="1" applyAlignment="1">
      <alignment vertical="center" wrapText="1"/>
    </xf>
    <xf numFmtId="4" fontId="108" fillId="0" borderId="2" xfId="0" applyNumberFormat="1" applyFont="1" applyFill="1" applyBorder="1" applyAlignment="1">
      <alignment wrapText="1"/>
    </xf>
    <xf numFmtId="165" fontId="40" fillId="0" borderId="12" xfId="0" applyNumberFormat="1" applyFont="1" applyBorder="1" applyAlignment="1"/>
    <xf numFmtId="170" fontId="40" fillId="0" borderId="28" xfId="0" applyNumberFormat="1" applyFont="1" applyBorder="1"/>
    <xf numFmtId="170" fontId="44" fillId="2" borderId="29" xfId="0" applyNumberFormat="1" applyFont="1" applyFill="1" applyBorder="1" applyAlignment="1"/>
    <xf numFmtId="170" fontId="32" fillId="5" borderId="33" xfId="24" applyNumberFormat="1" applyFont="1" applyFill="1" applyBorder="1" applyAlignment="1">
      <alignment horizontal="center" vertical="center" wrapText="1"/>
    </xf>
    <xf numFmtId="4" fontId="0" fillId="0" borderId="64" xfId="0" applyNumberFormat="1" applyFont="1" applyFill="1" applyBorder="1" applyAlignment="1">
      <alignment vertical="center"/>
    </xf>
    <xf numFmtId="170" fontId="32" fillId="0" borderId="33" xfId="24" applyNumberFormat="1" applyFont="1" applyFill="1" applyBorder="1" applyAlignment="1">
      <alignment horizontal="center" vertical="center" wrapText="1"/>
    </xf>
    <xf numFmtId="165" fontId="32" fillId="5" borderId="32" xfId="24" applyNumberFormat="1" applyFont="1" applyFill="1" applyBorder="1" applyAlignment="1">
      <alignment vertical="center"/>
    </xf>
    <xf numFmtId="169" fontId="82" fillId="0" borderId="0" xfId="0" applyNumberFormat="1" applyFont="1" applyAlignment="1">
      <alignment horizontal="center" vertical="center" wrapText="1"/>
    </xf>
    <xf numFmtId="165" fontId="82" fillId="5" borderId="0" xfId="0" applyNumberFormat="1" applyFont="1" applyFill="1" applyAlignment="1">
      <alignment horizontal="center" vertical="center" wrapText="1"/>
    </xf>
    <xf numFmtId="170" fontId="32" fillId="5" borderId="5" xfId="24" applyNumberFormat="1" applyFont="1" applyFill="1" applyBorder="1" applyAlignment="1">
      <alignment horizontal="center" vertical="center" wrapText="1"/>
    </xf>
    <xf numFmtId="4" fontId="109" fillId="17" borderId="71" xfId="0" applyNumberFormat="1" applyFont="1" applyFill="1" applyBorder="1" applyAlignment="1">
      <alignment vertical="center"/>
    </xf>
    <xf numFmtId="170" fontId="32" fillId="0" borderId="5" xfId="24" applyNumberFormat="1" applyFont="1" applyFill="1" applyBorder="1" applyAlignment="1">
      <alignment horizontal="center" vertical="center" wrapText="1"/>
    </xf>
    <xf numFmtId="165" fontId="104" fillId="0" borderId="2" xfId="0" applyNumberFormat="1" applyFont="1" applyFill="1" applyBorder="1" applyAlignment="1">
      <alignment vertical="center"/>
    </xf>
    <xf numFmtId="170" fontId="32" fillId="5" borderId="27" xfId="24" applyNumberFormat="1" applyFont="1" applyFill="1" applyBorder="1" applyAlignment="1">
      <alignment horizontal="center" vertical="center" wrapText="1"/>
    </xf>
    <xf numFmtId="170" fontId="32" fillId="0" borderId="27" xfId="24" applyNumberFormat="1" applyFont="1" applyFill="1" applyBorder="1" applyAlignment="1">
      <alignment horizontal="center" vertical="center" wrapText="1"/>
    </xf>
    <xf numFmtId="2" fontId="82" fillId="0" borderId="18" xfId="46" applyNumberFormat="1" applyFont="1" applyFill="1" applyBorder="1" applyAlignment="1">
      <alignment horizontal="center" vertical="center" wrapText="1"/>
    </xf>
    <xf numFmtId="165" fontId="0" fillId="5" borderId="58" xfId="0" applyNumberFormat="1" applyFont="1" applyFill="1" applyBorder="1" applyAlignment="1">
      <alignment vertical="center"/>
    </xf>
    <xf numFmtId="170" fontId="32" fillId="5" borderId="27" xfId="23" applyNumberFormat="1" applyFont="1" applyFill="1" applyBorder="1" applyAlignment="1">
      <alignment horizontal="center" vertical="center" wrapText="1"/>
    </xf>
    <xf numFmtId="170" fontId="44" fillId="2" borderId="79" xfId="0" applyNumberFormat="1" applyFont="1" applyFill="1" applyBorder="1" applyAlignment="1">
      <alignment horizontal="right"/>
    </xf>
    <xf numFmtId="165" fontId="40" fillId="0" borderId="13" xfId="0" applyNumberFormat="1" applyFont="1" applyBorder="1" applyAlignment="1"/>
    <xf numFmtId="165" fontId="40" fillId="0" borderId="3" xfId="0" applyNumberFormat="1" applyFont="1" applyBorder="1" applyAlignment="1"/>
    <xf numFmtId="165" fontId="40" fillId="0" borderId="14" xfId="0" applyNumberFormat="1" applyFont="1" applyBorder="1" applyAlignment="1"/>
    <xf numFmtId="165" fontId="44" fillId="3" borderId="15" xfId="0" applyNumberFormat="1" applyFont="1" applyFill="1" applyBorder="1" applyAlignment="1"/>
    <xf numFmtId="170" fontId="40" fillId="0" borderId="0" xfId="0" applyNumberFormat="1" applyFont="1"/>
    <xf numFmtId="4" fontId="62" fillId="25" borderId="64" xfId="0" applyNumberFormat="1" applyFont="1" applyFill="1" applyBorder="1" applyAlignment="1">
      <alignment vertical="center"/>
    </xf>
    <xf numFmtId="4" fontId="79" fillId="0" borderId="0" xfId="46" applyNumberFormat="1" applyFont="1" applyAlignment="1">
      <alignment horizontal="center" vertical="center" wrapText="1"/>
    </xf>
    <xf numFmtId="4" fontId="82" fillId="5" borderId="0" xfId="0" applyNumberFormat="1" applyFont="1" applyFill="1" applyAlignment="1">
      <alignment horizontal="center" vertical="center" wrapText="1"/>
    </xf>
    <xf numFmtId="0" fontId="59" fillId="18" borderId="4" xfId="0" applyFont="1" applyFill="1" applyBorder="1" applyAlignment="1">
      <alignment horizontal="center" vertical="center" wrapText="1"/>
    </xf>
    <xf numFmtId="0" fontId="59" fillId="18" borderId="73" xfId="0" applyFont="1" applyFill="1" applyBorder="1" applyAlignment="1">
      <alignment horizontal="center" vertical="center" wrapText="1"/>
    </xf>
    <xf numFmtId="4" fontId="91" fillId="25" borderId="18" xfId="0" applyNumberFormat="1" applyFont="1" applyFill="1" applyBorder="1" applyAlignment="1">
      <alignment vertical="center"/>
    </xf>
    <xf numFmtId="4" fontId="91" fillId="25" borderId="2" xfId="0" applyNumberFormat="1" applyFont="1" applyFill="1" applyBorder="1" applyAlignment="1">
      <alignment vertical="center"/>
    </xf>
    <xf numFmtId="4" fontId="62" fillId="0" borderId="2" xfId="0" applyNumberFormat="1" applyFont="1" applyFill="1" applyBorder="1" applyAlignment="1">
      <alignment vertical="center" wrapText="1"/>
    </xf>
    <xf numFmtId="4" fontId="110" fillId="0" borderId="2" xfId="0" applyNumberFormat="1" applyFont="1" applyFill="1" applyBorder="1" applyAlignment="1">
      <alignment vertical="center" wrapText="1"/>
    </xf>
    <xf numFmtId="4" fontId="111" fillId="25" borderId="64" xfId="0" applyNumberFormat="1" applyFont="1" applyFill="1" applyBorder="1" applyAlignment="1">
      <alignment vertical="center"/>
    </xf>
    <xf numFmtId="4" fontId="110" fillId="17" borderId="2" xfId="46" applyNumberFormat="1" applyFont="1" applyFill="1" applyBorder="1" applyAlignment="1">
      <alignment vertical="center" wrapText="1"/>
    </xf>
    <xf numFmtId="4" fontId="112" fillId="17" borderId="71" xfId="0" applyNumberFormat="1" applyFont="1" applyFill="1" applyBorder="1" applyAlignment="1">
      <alignment vertical="center"/>
    </xf>
    <xf numFmtId="4" fontId="113" fillId="0" borderId="64" xfId="0" applyNumberFormat="1" applyFont="1" applyFill="1" applyBorder="1" applyAlignment="1">
      <alignment vertical="center"/>
    </xf>
    <xf numFmtId="4" fontId="112" fillId="0" borderId="22" xfId="0" applyNumberFormat="1" applyFont="1" applyFill="1" applyBorder="1" applyAlignment="1">
      <alignment horizontal="right" vertical="center" wrapText="1"/>
    </xf>
    <xf numFmtId="4" fontId="114" fillId="0" borderId="0" xfId="46" applyNumberFormat="1" applyFont="1" applyAlignment="1">
      <alignment horizontal="center" vertical="center" wrapText="1"/>
    </xf>
    <xf numFmtId="170" fontId="115" fillId="5" borderId="33" xfId="24" applyNumberFormat="1" applyFont="1" applyFill="1" applyBorder="1" applyAlignment="1">
      <alignment horizontal="center" vertical="center" wrapText="1"/>
    </xf>
    <xf numFmtId="169" fontId="114" fillId="0" borderId="0" xfId="0" applyNumberFormat="1" applyFont="1" applyFill="1" applyBorder="1" applyAlignment="1">
      <alignment horizontal="center" vertical="center" wrapText="1"/>
    </xf>
    <xf numFmtId="2" fontId="106" fillId="0" borderId="85" xfId="0" applyNumberFormat="1" applyFont="1" applyFill="1" applyBorder="1" applyAlignment="1">
      <alignment horizontal="center" vertical="center" wrapText="1"/>
    </xf>
    <xf numFmtId="4" fontId="80" fillId="25" borderId="78" xfId="0" applyNumberFormat="1" applyFont="1" applyFill="1" applyBorder="1" applyAlignment="1">
      <alignment vertical="center" wrapText="1"/>
    </xf>
    <xf numFmtId="0" fontId="106" fillId="0" borderId="2" xfId="0" applyFont="1" applyFill="1" applyBorder="1" applyAlignment="1">
      <alignment horizontal="center" vertical="center" wrapText="1"/>
    </xf>
    <xf numFmtId="4" fontId="62" fillId="25" borderId="2" xfId="0" applyNumberFormat="1" applyFont="1" applyFill="1" applyBorder="1" applyAlignment="1">
      <alignment vertical="center" wrapText="1"/>
    </xf>
    <xf numFmtId="4" fontId="91" fillId="17" borderId="18" xfId="0" applyNumberFormat="1" applyFont="1" applyFill="1" applyBorder="1" applyAlignment="1">
      <alignment vertical="center"/>
    </xf>
    <xf numFmtId="4" fontId="89" fillId="17" borderId="78" xfId="0" applyNumberFormat="1" applyFont="1" applyFill="1" applyBorder="1" applyAlignment="1">
      <alignment vertical="center" wrapText="1"/>
    </xf>
    <xf numFmtId="165" fontId="73" fillId="5" borderId="32" xfId="24" applyNumberFormat="1" applyFont="1" applyFill="1" applyBorder="1" applyAlignment="1">
      <alignment vertical="center"/>
    </xf>
    <xf numFmtId="4" fontId="94" fillId="25" borderId="2" xfId="0" applyNumberFormat="1" applyFont="1" applyFill="1" applyBorder="1" applyAlignment="1">
      <alignment vertical="center" wrapText="1"/>
    </xf>
    <xf numFmtId="0" fontId="92" fillId="0" borderId="0" xfId="0" applyFont="1"/>
    <xf numFmtId="4" fontId="103" fillId="17" borderId="2" xfId="0" applyNumberFormat="1" applyFont="1" applyFill="1" applyBorder="1" applyAlignment="1">
      <alignment vertical="center" wrapText="1"/>
    </xf>
    <xf numFmtId="0" fontId="59" fillId="18" borderId="4" xfId="0" applyFont="1" applyFill="1" applyBorder="1" applyAlignment="1">
      <alignment horizontal="center" vertical="center" wrapText="1"/>
    </xf>
    <xf numFmtId="0" fontId="59" fillId="18" borderId="73" xfId="0" applyFont="1" applyFill="1" applyBorder="1" applyAlignment="1">
      <alignment horizontal="center" vertical="center" wrapText="1"/>
    </xf>
    <xf numFmtId="4" fontId="82" fillId="0" borderId="18" xfId="46" applyNumberFormat="1" applyFont="1" applyFill="1" applyBorder="1" applyAlignment="1">
      <alignment horizontal="center" vertical="center" wrapText="1"/>
    </xf>
    <xf numFmtId="4" fontId="89" fillId="25" borderId="78" xfId="0" applyNumberFormat="1" applyFont="1" applyFill="1" applyBorder="1" applyAlignment="1">
      <alignment vertical="center" wrapText="1"/>
    </xf>
    <xf numFmtId="170" fontId="73" fillId="0" borderId="27" xfId="24" applyNumberFormat="1" applyFont="1" applyFill="1" applyBorder="1" applyAlignment="1">
      <alignment horizontal="center" vertical="center" wrapText="1"/>
    </xf>
    <xf numFmtId="170" fontId="73" fillId="5" borderId="27" xfId="24" applyNumberFormat="1" applyFont="1" applyFill="1" applyBorder="1" applyAlignment="1">
      <alignment horizontal="center" vertical="center" wrapText="1"/>
    </xf>
    <xf numFmtId="4" fontId="79" fillId="0" borderId="18" xfId="46" applyNumberFormat="1" applyFont="1" applyFill="1" applyBorder="1" applyAlignment="1">
      <alignment horizontal="center" vertical="center" wrapText="1"/>
    </xf>
    <xf numFmtId="164" fontId="99" fillId="26" borderId="26" xfId="46" applyNumberFormat="1" applyFont="1" applyFill="1" applyBorder="1" applyAlignment="1">
      <alignment vertical="center"/>
    </xf>
    <xf numFmtId="165" fontId="15" fillId="26" borderId="2" xfId="46" applyNumberFormat="1" applyFont="1" applyFill="1" applyBorder="1" applyAlignment="1">
      <alignment horizontal="center" vertical="center" wrapText="1"/>
    </xf>
    <xf numFmtId="165" fontId="35" fillId="0" borderId="32" xfId="24" applyNumberFormat="1" applyFont="1" applyFill="1" applyBorder="1" applyAlignment="1">
      <alignment vertical="center"/>
    </xf>
    <xf numFmtId="165" fontId="73" fillId="0" borderId="32" xfId="24" applyNumberFormat="1" applyFont="1" applyFill="1" applyBorder="1" applyAlignment="1">
      <alignment vertical="center"/>
    </xf>
    <xf numFmtId="4" fontId="90" fillId="0" borderId="71" xfId="0" applyNumberFormat="1" applyFont="1" applyFill="1" applyBorder="1" applyAlignment="1">
      <alignment vertical="center"/>
    </xf>
    <xf numFmtId="4" fontId="89" fillId="0" borderId="78" xfId="0" applyNumberFormat="1" applyFont="1" applyFill="1" applyBorder="1" applyAlignment="1">
      <alignment vertical="center" wrapText="1"/>
    </xf>
    <xf numFmtId="4" fontId="62" fillId="0" borderId="64" xfId="0" applyNumberFormat="1" applyFont="1" applyFill="1" applyBorder="1" applyAlignment="1">
      <alignment vertical="center"/>
    </xf>
    <xf numFmtId="4" fontId="62" fillId="0" borderId="2" xfId="0" applyNumberFormat="1" applyFont="1" applyFill="1" applyBorder="1" applyAlignment="1">
      <alignment vertical="center"/>
    </xf>
    <xf numFmtId="169" fontId="15" fillId="0" borderId="0" xfId="0" applyNumberFormat="1" applyFont="1" applyFill="1" applyAlignment="1">
      <alignment horizontal="center" vertical="center" wrapText="1"/>
    </xf>
    <xf numFmtId="4" fontId="15" fillId="0" borderId="18" xfId="46" applyNumberFormat="1" applyFont="1" applyFill="1" applyBorder="1" applyAlignment="1">
      <alignment horizontal="center" vertical="center" wrapText="1"/>
    </xf>
    <xf numFmtId="165" fontId="62" fillId="0" borderId="2" xfId="0" applyNumberFormat="1" applyFont="1" applyFill="1" applyBorder="1" applyAlignment="1">
      <alignment vertical="center"/>
    </xf>
    <xf numFmtId="164" fontId="99" fillId="0" borderId="26" xfId="0" applyNumberFormat="1" applyFont="1" applyBorder="1" applyAlignment="1">
      <alignment vertical="center"/>
    </xf>
    <xf numFmtId="165" fontId="15" fillId="0" borderId="2" xfId="46" applyNumberFormat="1" applyFont="1" applyFill="1" applyBorder="1" applyAlignment="1">
      <alignment horizontal="center" vertical="center" wrapText="1"/>
    </xf>
    <xf numFmtId="164" fontId="80" fillId="0" borderId="26" xfId="0" applyNumberFormat="1" applyFont="1" applyBorder="1" applyAlignment="1">
      <alignment vertical="center"/>
    </xf>
    <xf numFmtId="164" fontId="99" fillId="2" borderId="26" xfId="0" applyNumberFormat="1" applyFont="1" applyFill="1" applyBorder="1" applyAlignment="1">
      <alignment vertical="center"/>
    </xf>
    <xf numFmtId="4" fontId="91" fillId="17" borderId="2" xfId="0" applyNumberFormat="1" applyFont="1" applyFill="1" applyBorder="1" applyAlignment="1">
      <alignment vertical="center"/>
    </xf>
    <xf numFmtId="164" fontId="99" fillId="0" borderId="26" xfId="0" applyNumberFormat="1" applyFont="1" applyFill="1" applyBorder="1" applyAlignment="1">
      <alignment vertical="center"/>
    </xf>
    <xf numFmtId="4" fontId="94" fillId="25" borderId="65" xfId="0" applyNumberFormat="1" applyFont="1" applyFill="1" applyBorder="1" applyAlignment="1">
      <alignment vertical="center" wrapText="1"/>
    </xf>
    <xf numFmtId="170" fontId="116" fillId="27" borderId="27" xfId="24" applyNumberFormat="1" applyFont="1" applyFill="1" applyBorder="1" applyAlignment="1">
      <alignment horizontal="center" vertical="center" wrapText="1"/>
    </xf>
    <xf numFmtId="170" fontId="117" fillId="0" borderId="27" xfId="24" applyNumberFormat="1" applyFont="1" applyFill="1" applyBorder="1" applyAlignment="1">
      <alignment horizontal="center" vertical="center" wrapText="1"/>
    </xf>
    <xf numFmtId="4" fontId="91" fillId="17" borderId="64" xfId="0" applyNumberFormat="1" applyFont="1" applyFill="1" applyBorder="1" applyAlignment="1">
      <alignment vertical="center"/>
    </xf>
    <xf numFmtId="0" fontId="59" fillId="21" borderId="22" xfId="0" applyFont="1" applyFill="1" applyBorder="1" applyAlignment="1">
      <alignment horizontal="center" vertical="center"/>
    </xf>
    <xf numFmtId="4" fontId="74" fillId="28" borderId="2" xfId="0" applyNumberFormat="1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9" xfId="0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80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17" fontId="0" fillId="0" borderId="52" xfId="0" applyNumberFormat="1" applyBorder="1" applyAlignment="1">
      <alignment horizontal="center"/>
    </xf>
    <xf numFmtId="17" fontId="0" fillId="0" borderId="15" xfId="0" applyNumberFormat="1" applyBorder="1" applyAlignment="1"/>
    <xf numFmtId="0" fontId="0" fillId="0" borderId="52" xfId="0" applyBorder="1" applyAlignment="1"/>
    <xf numFmtId="0" fontId="0" fillId="0" borderId="49" xfId="0" applyBorder="1" applyAlignment="1"/>
    <xf numFmtId="17" fontId="0" fillId="0" borderId="39" xfId="0" applyNumberFormat="1" applyBorder="1" applyAlignment="1">
      <alignment horizontal="center"/>
    </xf>
    <xf numFmtId="0" fontId="0" fillId="0" borderId="80" xfId="0" applyBorder="1" applyAlignment="1">
      <alignment horizontal="center"/>
    </xf>
    <xf numFmtId="0" fontId="44" fillId="0" borderId="1" xfId="0" applyNumberFormat="1" applyFont="1" applyFill="1" applyBorder="1" applyAlignment="1">
      <alignment horizontal="center"/>
    </xf>
    <xf numFmtId="0" fontId="44" fillId="0" borderId="50" xfId="0" applyNumberFormat="1" applyFont="1" applyFill="1" applyBorder="1" applyAlignment="1">
      <alignment horizontal="center"/>
    </xf>
    <xf numFmtId="0" fontId="31" fillId="0" borderId="1" xfId="0" applyNumberFormat="1" applyFont="1" applyFill="1" applyBorder="1" applyAlignment="1">
      <alignment horizontal="center"/>
    </xf>
    <xf numFmtId="0" fontId="31" fillId="0" borderId="50" xfId="0" applyNumberFormat="1" applyFont="1" applyFill="1" applyBorder="1" applyAlignment="1">
      <alignment horizontal="center"/>
    </xf>
    <xf numFmtId="0" fontId="44" fillId="2" borderId="39" xfId="0" applyFont="1" applyFill="1" applyBorder="1" applyAlignment="1">
      <alignment horizontal="center"/>
    </xf>
    <xf numFmtId="0" fontId="44" fillId="2" borderId="41" xfId="0" applyFont="1" applyFill="1" applyBorder="1" applyAlignment="1">
      <alignment horizontal="center"/>
    </xf>
    <xf numFmtId="0" fontId="44" fillId="2" borderId="14" xfId="0" applyFont="1" applyFill="1" applyBorder="1" applyAlignment="1">
      <alignment horizontal="center"/>
    </xf>
    <xf numFmtId="0" fontId="44" fillId="2" borderId="51" xfId="0" applyFont="1" applyFill="1" applyBorder="1" applyAlignment="1">
      <alignment horizontal="center"/>
    </xf>
    <xf numFmtId="2" fontId="84" fillId="2" borderId="15" xfId="0" applyNumberFormat="1" applyFont="1" applyFill="1" applyBorder="1" applyAlignment="1">
      <alignment horizontal="center" vertical="center" wrapText="1"/>
    </xf>
    <xf numFmtId="2" fontId="84" fillId="2" borderId="52" xfId="0" applyNumberFormat="1" applyFont="1" applyFill="1" applyBorder="1" applyAlignment="1">
      <alignment horizontal="center" vertical="center" wrapText="1"/>
    </xf>
    <xf numFmtId="0" fontId="84" fillId="2" borderId="15" xfId="0" applyFont="1" applyFill="1" applyBorder="1" applyAlignment="1">
      <alignment horizontal="center" vertical="center" wrapText="1"/>
    </xf>
    <xf numFmtId="0" fontId="84" fillId="2" borderId="52" xfId="0" applyFont="1" applyFill="1" applyBorder="1" applyAlignment="1">
      <alignment horizontal="center" vertical="center" wrapText="1"/>
    </xf>
    <xf numFmtId="2" fontId="44" fillId="2" borderId="15" xfId="0" applyNumberFormat="1" applyFont="1" applyFill="1" applyBorder="1" applyAlignment="1">
      <alignment horizontal="center"/>
    </xf>
    <xf numFmtId="2" fontId="44" fillId="2" borderId="52" xfId="0" applyNumberFormat="1" applyFont="1" applyFill="1" applyBorder="1" applyAlignment="1">
      <alignment horizontal="center"/>
    </xf>
    <xf numFmtId="0" fontId="44" fillId="2" borderId="52" xfId="0" applyFont="1" applyFill="1" applyBorder="1" applyAlignment="1">
      <alignment horizontal="center"/>
    </xf>
    <xf numFmtId="0" fontId="40" fillId="0" borderId="15" xfId="0" applyFont="1" applyBorder="1" applyAlignment="1"/>
    <xf numFmtId="0" fontId="40" fillId="0" borderId="52" xfId="0" applyFont="1" applyBorder="1" applyAlignment="1"/>
    <xf numFmtId="0" fontId="44" fillId="2" borderId="55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 vertical="center" wrapText="1"/>
    </xf>
    <xf numFmtId="0" fontId="59" fillId="0" borderId="22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1" fontId="76" fillId="0" borderId="1" xfId="0" applyNumberFormat="1" applyFont="1" applyFill="1" applyBorder="1" applyAlignment="1">
      <alignment horizontal="center"/>
    </xf>
    <xf numFmtId="1" fontId="76" fillId="0" borderId="50" xfId="0" applyNumberFormat="1" applyFont="1" applyFill="1" applyBorder="1" applyAlignment="1">
      <alignment horizontal="center"/>
    </xf>
    <xf numFmtId="0" fontId="59" fillId="18" borderId="72" xfId="0" applyFont="1" applyFill="1" applyBorder="1" applyAlignment="1">
      <alignment horizontal="center" vertical="center" wrapText="1"/>
    </xf>
    <xf numFmtId="0" fontId="59" fillId="18" borderId="22" xfId="0" applyFont="1" applyFill="1" applyBorder="1" applyAlignment="1">
      <alignment horizontal="center" vertical="center" wrapText="1"/>
    </xf>
    <xf numFmtId="0" fontId="84" fillId="2" borderId="2" xfId="0" applyFont="1" applyFill="1" applyBorder="1" applyAlignment="1">
      <alignment horizontal="center" vertical="center" wrapText="1"/>
    </xf>
    <xf numFmtId="0" fontId="59" fillId="18" borderId="4" xfId="0" applyFont="1" applyFill="1" applyBorder="1" applyAlignment="1">
      <alignment horizontal="center" vertical="center" wrapText="1"/>
    </xf>
    <xf numFmtId="0" fontId="59" fillId="18" borderId="73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wrapText="1"/>
    </xf>
    <xf numFmtId="0" fontId="46" fillId="0" borderId="74" xfId="0" applyFont="1" applyFill="1" applyBorder="1" applyAlignment="1">
      <alignment horizontal="center" wrapText="1"/>
    </xf>
    <xf numFmtId="0" fontId="59" fillId="0" borderId="73" xfId="0" applyFont="1" applyFill="1" applyBorder="1" applyAlignment="1">
      <alignment horizontal="center" vertical="center" wrapText="1"/>
    </xf>
    <xf numFmtId="0" fontId="59" fillId="0" borderId="57" xfId="0" applyFont="1" applyFill="1" applyBorder="1" applyAlignment="1">
      <alignment horizontal="center" vertical="center" wrapText="1"/>
    </xf>
    <xf numFmtId="0" fontId="59" fillId="0" borderId="75" xfId="0" applyFont="1" applyFill="1" applyBorder="1" applyAlignment="1">
      <alignment horizontal="center" vertical="center" wrapText="1"/>
    </xf>
    <xf numFmtId="2" fontId="84" fillId="2" borderId="49" xfId="0" applyNumberFormat="1" applyFont="1" applyFill="1" applyBorder="1" applyAlignment="1">
      <alignment horizontal="center" vertical="center" wrapText="1"/>
    </xf>
    <xf numFmtId="0" fontId="44" fillId="2" borderId="56" xfId="0" applyFont="1" applyFill="1" applyBorder="1" applyAlignment="1">
      <alignment horizontal="center"/>
    </xf>
    <xf numFmtId="0" fontId="77" fillId="0" borderId="4" xfId="0" applyFont="1" applyFill="1" applyBorder="1" applyAlignment="1">
      <alignment horizontal="left" vertical="center" wrapText="1"/>
    </xf>
    <xf numFmtId="0" fontId="77" fillId="0" borderId="22" xfId="0" applyFont="1" applyFill="1" applyBorder="1" applyAlignment="1">
      <alignment horizontal="left" vertical="center" wrapText="1"/>
    </xf>
    <xf numFmtId="0" fontId="44" fillId="2" borderId="81" xfId="0" applyFont="1" applyFill="1" applyBorder="1" applyAlignment="1">
      <alignment horizontal="center"/>
    </xf>
    <xf numFmtId="0" fontId="44" fillId="2" borderId="49" xfId="0" applyFont="1" applyFill="1" applyBorder="1" applyAlignment="1">
      <alignment horizontal="center"/>
    </xf>
    <xf numFmtId="0" fontId="40" fillId="0" borderId="49" xfId="0" applyFont="1" applyBorder="1" applyAlignment="1"/>
    <xf numFmtId="1" fontId="44" fillId="0" borderId="1" xfId="0" applyNumberFormat="1" applyFont="1" applyFill="1" applyBorder="1" applyAlignment="1">
      <alignment horizontal="center"/>
    </xf>
    <xf numFmtId="1" fontId="44" fillId="0" borderId="50" xfId="0" applyNumberFormat="1" applyFont="1" applyFill="1" applyBorder="1" applyAlignment="1">
      <alignment horizontal="center"/>
    </xf>
    <xf numFmtId="0" fontId="59" fillId="0" borderId="34" xfId="0" applyFont="1" applyFill="1" applyBorder="1" applyAlignment="1">
      <alignment horizontal="center" vertical="center" wrapText="1"/>
    </xf>
  </cellXfs>
  <cellStyles count="49">
    <cellStyle name="Звичайний 2" xfId="1"/>
    <cellStyle name="Звичайний 2 10" xfId="2"/>
    <cellStyle name="Звичайний 2 11" xfId="35"/>
    <cellStyle name="Звичайний 2 12" xfId="37"/>
    <cellStyle name="Звичайний 2 13" xfId="39"/>
    <cellStyle name="Звичайний 2 14" xfId="41"/>
    <cellStyle name="Звичайний 2 15" xfId="43"/>
    <cellStyle name="Звичайний 2 16" xfId="45"/>
    <cellStyle name="Звичайний 2 17" xfId="48"/>
    <cellStyle name="Звичайний 2 2" xfId="3"/>
    <cellStyle name="Звичайний 2 3" xfId="4"/>
    <cellStyle name="Звичайний 2 4" xfId="5"/>
    <cellStyle name="Звичайний 2 5" xfId="6"/>
    <cellStyle name="Звичайний 2 6" xfId="7"/>
    <cellStyle name="Звичайний 2 7" xfId="8"/>
    <cellStyle name="Звичайний 2 8" xfId="9"/>
    <cellStyle name="Звичайний 2 9" xfId="10"/>
    <cellStyle name="Обычный" xfId="0" builtinId="0"/>
    <cellStyle name="Обычный 10" xfId="11"/>
    <cellStyle name="Обычный 10 2" xfId="12"/>
    <cellStyle name="Обычный 11" xfId="13"/>
    <cellStyle name="Обычный 11 2" xfId="14"/>
    <cellStyle name="Обычный 12" xfId="15"/>
    <cellStyle name="Обычный 12 2" xfId="34"/>
    <cellStyle name="Обычный 13" xfId="16"/>
    <cellStyle name="Обычный 13 2" xfId="36"/>
    <cellStyle name="Обычный 14" xfId="17"/>
    <cellStyle name="Обычный 14 2" xfId="38"/>
    <cellStyle name="Обычный 15" xfId="40"/>
    <cellStyle name="Обычный 16" xfId="42"/>
    <cellStyle name="Обычный 17" xfId="18"/>
    <cellStyle name="Обычный 18" xfId="33"/>
    <cellStyle name="Обычный 18 2" xfId="47"/>
    <cellStyle name="Обычный 19" xfId="46"/>
    <cellStyle name="Обычный 2" xfId="19"/>
    <cellStyle name="Обычный 2 2" xfId="44"/>
    <cellStyle name="Обычный 3" xfId="20"/>
    <cellStyle name="Обычный 4" xfId="21"/>
    <cellStyle name="Обычный 4 2" xfId="22"/>
    <cellStyle name="Обычный 5" xfId="23"/>
    <cellStyle name="Обычный 5 2" xfId="24"/>
    <cellStyle name="Обычный 6" xfId="25"/>
    <cellStyle name="Обычный 6 2" xfId="26"/>
    <cellStyle name="Обычный 7" xfId="27"/>
    <cellStyle name="Обычный 7 2" xfId="28"/>
    <cellStyle name="Обычный 8" xfId="29"/>
    <cellStyle name="Обычный 8 2" xfId="30"/>
    <cellStyle name="Обычный 9" xfId="31"/>
    <cellStyle name="Обычный 9 2" xfId="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49.xml"/><Relationship Id="rId68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5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6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43.xml"/><Relationship Id="rId61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38.xml"/><Relationship Id="rId60" Type="http://schemas.openxmlformats.org/officeDocument/2006/relationships/externalLink" Target="externalLinks/externalLink46.xml"/><Relationship Id="rId65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59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0.xml"/><Relationship Id="rId69" Type="http://schemas.openxmlformats.org/officeDocument/2006/relationships/externalLink" Target="externalLinks/externalLink55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72" Type="http://schemas.openxmlformats.org/officeDocument/2006/relationships/externalLink" Target="externalLinks/externalLink5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32.xml"/><Relationship Id="rId59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53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54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48.xml"/><Relationship Id="rId70" Type="http://schemas.openxmlformats.org/officeDocument/2006/relationships/externalLink" Target="externalLinks/externalLink56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2_01_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6_01_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7_01_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8_01_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9_01_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0_01_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3_01_2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4_01_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5_01_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6_01_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7_01_23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3_01_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0_01_2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1_12_22_&#1082;&#1086;&#1088;&#1077;&#1075;&#1091;&#1074;_&#1088;&#1077;&#1079;&#1077;&#1088;&#1074;&#1110;&#1074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1_02_2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2_02_23%20(1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3_02_23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6_02_2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7_02_2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8_02_2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4_02_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5_02_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5_01_23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6_02_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7_02_2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0_02_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1_02_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3_02_2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4_02_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9_02_2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3_02_23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6_03_23%20(2)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7_03_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6_01_23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8_03_2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9_03_23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0_03_2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3_03_2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5_03_2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6_03_2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7_03_2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0_03_2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1_03_2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2_03_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9_01_23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3_03_23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4_03_2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7_03_2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8_03_23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9_03_23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0_03_23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1_03_23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2_03_23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3_03_23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9_01_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0_01_23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0_09_2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1_01_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2_01_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3_01_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101515773.7175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101539160.85850002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101632268.535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101666995.4615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101454872.388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101508430.89449999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101890255.884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 refreshError="1">
        <row r="92">
          <cell r="D92">
            <v>101798112.68049999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101791247.987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101832329.9735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101868518.83000001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101126350.734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101681191.64949998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101211764.84870002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101939075.13250001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101911446.40900001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101852901.7155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102055514.88500001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101927937.79149999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102412544.398</v>
          </cell>
        </row>
      </sheetData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102169581.62700002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102102285.6735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101348911.64700001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102148114.77000001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102185823.59650001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102077825.49599999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3799404.0500000003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8">
          <cell r="D88">
            <v>102177856.01550001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8">
          <cell r="D88">
            <v>102408107.62200001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101754629.29450002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101911211.77049999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102105740.507</v>
          </cell>
        </row>
      </sheetData>
      <sheetData sheetId="1"/>
      <sheetData sheetId="2"/>
      <sheetData sheetId="3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101908586.09349999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 refreshError="1">
        <row r="91">
          <cell r="D91">
            <v>101388276.2535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102108209.40000001</v>
          </cell>
        </row>
      </sheetData>
      <sheetData sheetId="1"/>
      <sheetData sheetId="2"/>
      <sheetData sheetId="3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101971126.6265</v>
          </cell>
        </row>
      </sheetData>
      <sheetData sheetId="1"/>
      <sheetData sheetId="2"/>
      <sheetData sheetId="3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102169041.11300001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101395616.0325</v>
          </cell>
        </row>
      </sheetData>
      <sheetData sheetId="1"/>
      <sheetData sheetId="2"/>
      <sheetData sheetId="3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101414225.1795</v>
          </cell>
        </row>
      </sheetData>
      <sheetData sheetId="1"/>
      <sheetData sheetId="2"/>
      <sheetData sheetId="3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101400723.55800001</v>
          </cell>
        </row>
      </sheetData>
      <sheetData sheetId="1"/>
      <sheetData sheetId="2"/>
      <sheetData sheetId="3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101589689.26850002</v>
          </cell>
        </row>
      </sheetData>
      <sheetData sheetId="1"/>
      <sheetData sheetId="2"/>
      <sheetData sheetId="3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101762934.78700002</v>
          </cell>
        </row>
      </sheetData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101540955.9155</v>
          </cell>
        </row>
      </sheetData>
      <sheetData sheetId="1"/>
      <sheetData sheetId="2"/>
      <sheetData sheetId="3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101578254.73200001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101275283.793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101510959.1425</v>
          </cell>
        </row>
      </sheetData>
      <sheetData sheetId="1"/>
      <sheetData sheetId="2"/>
      <sheetData sheetId="3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101765507.93100001</v>
          </cell>
        </row>
      </sheetData>
      <sheetData sheetId="1"/>
      <sheetData sheetId="2"/>
      <sheetData sheetId="3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101858853.03650001</v>
          </cell>
        </row>
      </sheetData>
      <sheetData sheetId="1"/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101724436.40899999</v>
          </cell>
        </row>
      </sheetData>
      <sheetData sheetId="1"/>
      <sheetData sheetId="2"/>
      <sheetData sheetId="3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102050830.14749999</v>
          </cell>
        </row>
      </sheetData>
      <sheetData sheetId="1"/>
      <sheetData sheetId="2"/>
      <sheetData sheetId="3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9">
          <cell r="D89">
            <v>101888355.63200003</v>
          </cell>
        </row>
      </sheetData>
      <sheetData sheetId="1"/>
      <sheetData sheetId="2"/>
      <sheetData sheetId="3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Аркуш1"/>
      <sheetName val="овдп_обіг"/>
      <sheetName val="Обіг_010323"/>
      <sheetName val="Лист3"/>
    </sheetNames>
    <sheetDataSet>
      <sheetData sheetId="0">
        <row r="89">
          <cell r="D89">
            <v>101899722.33050002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101772845.141</v>
          </cell>
        </row>
      </sheetData>
      <sheetData sheetId="1"/>
      <sheetData sheetId="2"/>
      <sheetData sheetId="3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101744606.9375</v>
          </cell>
        </row>
      </sheetData>
      <sheetData sheetId="1"/>
      <sheetData sheetId="2"/>
      <sheetData sheetId="3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160125"/>
      <sheetName val="овдп_обіг"/>
      <sheetName val="Аркуш1 (2)"/>
    </sheetNames>
    <sheetDataSet>
      <sheetData sheetId="0">
        <row r="37">
          <cell r="B37">
            <v>717746.22</v>
          </cell>
        </row>
        <row r="38">
          <cell r="B38">
            <v>0</v>
          </cell>
        </row>
        <row r="39">
          <cell r="B39">
            <v>781.33</v>
          </cell>
        </row>
        <row r="40">
          <cell r="B40">
            <v>0</v>
          </cell>
        </row>
        <row r="41">
          <cell r="B41">
            <v>3000000</v>
          </cell>
        </row>
        <row r="42">
          <cell r="B42">
            <v>1290000</v>
          </cell>
        </row>
        <row r="43">
          <cell r="B43">
            <v>2000000</v>
          </cell>
        </row>
        <row r="44">
          <cell r="B44">
            <v>9000000</v>
          </cell>
        </row>
        <row r="45">
          <cell r="B45">
            <v>2500000</v>
          </cell>
        </row>
        <row r="46">
          <cell r="B46">
            <v>4000000</v>
          </cell>
        </row>
        <row r="47">
          <cell r="B47">
            <v>1000000</v>
          </cell>
        </row>
        <row r="122">
          <cell r="D122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101363800.21950001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300925"/>
      <sheetName val="овдп_обіг"/>
      <sheetName val="Аркуш1"/>
    </sheetNames>
    <sheetDataSet>
      <sheetData sheetId="0">
        <row r="70">
          <cell r="L70">
            <v>0.01</v>
          </cell>
          <cell r="M70">
            <v>8592.15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 refreshError="1">
        <row r="93">
          <cell r="D93">
            <v>101359975.39600003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101229795.10249999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101439762.73900001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24"/>
  <sheetViews>
    <sheetView topLeftCell="HG1" zoomScale="125" zoomScaleNormal="125" workbookViewId="0">
      <selection activeCell="HG18" sqref="A18:XFD24"/>
    </sheetView>
  </sheetViews>
  <sheetFormatPr defaultColWidth="16.42578125" defaultRowHeight="15"/>
  <cols>
    <col min="1" max="1" width="57.85546875" customWidth="1"/>
    <col min="2" max="48" width="15" customWidth="1"/>
    <col min="49" max="49" width="15.42578125" customWidth="1"/>
    <col min="50" max="70" width="15" customWidth="1"/>
    <col min="71" max="130" width="16.42578125" customWidth="1"/>
    <col min="131" max="131" width="16.42578125" style="714" customWidth="1"/>
    <col min="132" max="137" width="16.42578125" customWidth="1"/>
    <col min="138" max="219" width="16.42578125" style="714" customWidth="1"/>
  </cols>
  <sheetData>
    <row r="1" spans="1:219" ht="15.75" thickBot="1">
      <c r="A1" s="1"/>
      <c r="B1" s="1007">
        <v>45658</v>
      </c>
      <c r="C1" s="1008"/>
      <c r="D1" s="1008"/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1008"/>
      <c r="Q1" s="1008"/>
      <c r="R1" s="1008"/>
      <c r="S1" s="1008"/>
      <c r="T1" s="1008"/>
      <c r="U1" s="1008"/>
      <c r="V1" s="1008"/>
      <c r="W1" s="1008"/>
      <c r="X1" s="1007">
        <v>45689</v>
      </c>
      <c r="Y1" s="1003"/>
      <c r="Z1" s="1003"/>
      <c r="AA1" s="1003"/>
      <c r="AB1" s="1003"/>
      <c r="AC1" s="1003"/>
      <c r="AD1" s="1003"/>
      <c r="AE1" s="1003"/>
      <c r="AF1" s="1003"/>
      <c r="AG1" s="1003"/>
      <c r="AH1" s="1003"/>
      <c r="AI1" s="1003"/>
      <c r="AJ1" s="1003"/>
      <c r="AK1" s="1003"/>
      <c r="AL1" s="1003"/>
      <c r="AM1" s="1003"/>
      <c r="AN1" s="1003"/>
      <c r="AO1" s="1003"/>
      <c r="AP1" s="1003"/>
      <c r="AQ1" s="1004"/>
      <c r="AR1" s="1009">
        <v>45717</v>
      </c>
      <c r="AS1" s="1010"/>
      <c r="AT1" s="1010"/>
      <c r="AU1" s="1010"/>
      <c r="AV1" s="1010"/>
      <c r="AW1" s="1010"/>
      <c r="AX1" s="1010"/>
      <c r="AY1" s="1010"/>
      <c r="AZ1" s="1010"/>
      <c r="BA1" s="1010"/>
      <c r="BB1" s="1010"/>
      <c r="BC1" s="1010"/>
      <c r="BD1" s="1010"/>
      <c r="BE1" s="1010"/>
      <c r="BF1" s="1010"/>
      <c r="BG1" s="1010"/>
      <c r="BH1" s="1010"/>
      <c r="BI1" s="1010"/>
      <c r="BJ1" s="1010"/>
      <c r="BK1" s="1010"/>
      <c r="BL1" s="1011"/>
      <c r="BM1" s="1009">
        <v>45748</v>
      </c>
      <c r="BN1" s="1010"/>
      <c r="BO1" s="1010"/>
      <c r="BP1" s="1010"/>
      <c r="BQ1" s="1010"/>
      <c r="BR1" s="1010"/>
      <c r="BS1" s="1010"/>
      <c r="BT1" s="1010"/>
      <c r="BU1" s="1010"/>
      <c r="BV1" s="1010"/>
      <c r="BW1" s="1010"/>
      <c r="BX1" s="1010"/>
      <c r="BY1" s="1010"/>
      <c r="BZ1" s="1010"/>
      <c r="CA1" s="1010"/>
      <c r="CB1" s="1010"/>
      <c r="CC1" s="1010"/>
      <c r="CD1" s="1010"/>
      <c r="CE1" s="1010"/>
      <c r="CF1" s="1010"/>
      <c r="CG1" s="1010"/>
      <c r="CH1" s="1011"/>
      <c r="CI1" s="1012">
        <v>45809</v>
      </c>
      <c r="CJ1" s="1013"/>
      <c r="CK1" s="1013"/>
      <c r="CL1" s="1013"/>
      <c r="CM1" s="1013"/>
      <c r="CN1" s="1013"/>
      <c r="CO1" s="1013"/>
      <c r="CP1" s="1013"/>
      <c r="CQ1" s="1013"/>
      <c r="CR1" s="1013"/>
      <c r="CS1" s="1013"/>
      <c r="CT1" s="1013"/>
      <c r="CU1" s="1013"/>
      <c r="CV1" s="1013"/>
      <c r="CW1" s="1013"/>
      <c r="CX1" s="1013"/>
      <c r="CY1" s="1013"/>
      <c r="CZ1" s="1013"/>
      <c r="DA1" s="1013"/>
      <c r="DB1" s="1013"/>
      <c r="DC1" s="1013"/>
      <c r="DD1" s="1013"/>
      <c r="DE1" s="1013"/>
      <c r="DF1" s="1007">
        <v>45809</v>
      </c>
      <c r="DG1" s="1003"/>
      <c r="DH1" s="1003"/>
      <c r="DI1" s="1003"/>
      <c r="DJ1" s="1003"/>
      <c r="DK1" s="1003"/>
      <c r="DL1" s="1003"/>
      <c r="DM1" s="1003"/>
      <c r="DN1" s="1003"/>
      <c r="DO1" s="1003"/>
      <c r="DP1" s="1003"/>
      <c r="DQ1" s="1003"/>
      <c r="DR1" s="1003"/>
      <c r="DS1" s="1003"/>
      <c r="DT1" s="1003"/>
      <c r="DU1" s="1003"/>
      <c r="DV1" s="1003"/>
      <c r="DW1" s="1003"/>
      <c r="DX1" s="1003"/>
      <c r="DY1" s="1003"/>
      <c r="DZ1" s="1004"/>
      <c r="EB1" s="1007">
        <v>45839</v>
      </c>
      <c r="EC1" s="1003"/>
      <c r="ED1" s="1003"/>
      <c r="EE1" s="1003"/>
      <c r="EF1" s="1003"/>
      <c r="EG1" s="1003"/>
      <c r="EH1" s="1003"/>
      <c r="EI1" s="1003"/>
      <c r="EJ1" s="1003"/>
      <c r="EK1" s="1003"/>
      <c r="EL1" s="1003"/>
      <c r="EM1" s="1003"/>
      <c r="EN1" s="1003"/>
      <c r="EO1" s="1003"/>
      <c r="EP1" s="1003"/>
      <c r="EQ1" s="1003"/>
      <c r="ER1" s="1003"/>
      <c r="ES1" s="1003"/>
      <c r="ET1" s="1003"/>
      <c r="EU1" s="1003"/>
      <c r="EV1" s="1003"/>
      <c r="EW1" s="1004"/>
      <c r="EX1" s="1005">
        <v>45870</v>
      </c>
      <c r="EY1" s="1006"/>
      <c r="EZ1" s="1006"/>
      <c r="FA1" s="1006"/>
      <c r="FB1" s="1006"/>
      <c r="FC1" s="1006"/>
      <c r="FD1" s="1006"/>
      <c r="FE1" s="1006"/>
      <c r="FF1" s="1006"/>
      <c r="FG1" s="1006"/>
      <c r="FH1" s="1006"/>
      <c r="FI1" s="1006"/>
      <c r="FJ1" s="1006"/>
      <c r="FK1" s="1006"/>
      <c r="FL1" s="1006"/>
      <c r="FM1" s="1006"/>
      <c r="FN1" s="1006"/>
      <c r="FO1" s="1006"/>
      <c r="FP1" s="1006"/>
      <c r="FQ1" s="1006"/>
      <c r="FR1" s="1006"/>
      <c r="FS1" s="1006"/>
      <c r="FT1" s="1002" t="s">
        <v>133</v>
      </c>
      <c r="FU1" s="1003"/>
      <c r="FV1" s="1003"/>
      <c r="FW1" s="1003"/>
      <c r="FX1" s="1003"/>
      <c r="FY1" s="1003"/>
      <c r="FZ1" s="1003"/>
      <c r="GA1" s="1003"/>
      <c r="GB1" s="1003"/>
      <c r="GC1" s="1003"/>
      <c r="GD1" s="1003"/>
      <c r="GE1" s="1003"/>
      <c r="GF1" s="1003"/>
      <c r="GG1" s="1003"/>
      <c r="GH1" s="1003"/>
      <c r="GI1" s="1003"/>
      <c r="GJ1" s="1003"/>
      <c r="GK1" s="1003"/>
      <c r="GL1" s="1003"/>
      <c r="GM1" s="1003"/>
      <c r="GN1" s="1003"/>
      <c r="GO1" s="1004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</row>
    <row r="2" spans="1:219" s="4" customFormat="1" ht="15.75" thickBot="1">
      <c r="A2" s="3"/>
      <c r="B2" s="426">
        <v>1</v>
      </c>
      <c r="C2" s="426">
        <v>3</v>
      </c>
      <c r="D2" s="426">
        <v>6</v>
      </c>
      <c r="E2" s="426">
        <v>7</v>
      </c>
      <c r="F2" s="426">
        <v>8</v>
      </c>
      <c r="G2" s="426">
        <v>9</v>
      </c>
      <c r="H2" s="426">
        <v>10</v>
      </c>
      <c r="I2" s="426">
        <v>13</v>
      </c>
      <c r="J2" s="426">
        <v>14</v>
      </c>
      <c r="K2" s="426">
        <v>15</v>
      </c>
      <c r="L2" s="426">
        <v>16</v>
      </c>
      <c r="M2" s="426">
        <v>17</v>
      </c>
      <c r="N2" s="426">
        <v>20</v>
      </c>
      <c r="O2" s="426">
        <v>21</v>
      </c>
      <c r="P2" s="426">
        <v>22</v>
      </c>
      <c r="Q2" s="426">
        <v>23</v>
      </c>
      <c r="R2" s="426">
        <v>24</v>
      </c>
      <c r="S2" s="426">
        <v>27</v>
      </c>
      <c r="T2" s="426">
        <v>28</v>
      </c>
      <c r="U2" s="426">
        <v>29</v>
      </c>
      <c r="V2" s="426">
        <v>30</v>
      </c>
      <c r="W2" s="426">
        <v>31</v>
      </c>
      <c r="X2" s="426">
        <v>3</v>
      </c>
      <c r="Y2" s="426">
        <v>4</v>
      </c>
      <c r="Z2" s="426">
        <v>5</v>
      </c>
      <c r="AA2" s="426">
        <v>6</v>
      </c>
      <c r="AB2" s="426">
        <v>7</v>
      </c>
      <c r="AC2" s="426">
        <v>10</v>
      </c>
      <c r="AD2" s="426">
        <v>11</v>
      </c>
      <c r="AE2" s="426">
        <v>12</v>
      </c>
      <c r="AF2" s="426">
        <v>13</v>
      </c>
      <c r="AG2" s="426">
        <v>14</v>
      </c>
      <c r="AH2" s="426">
        <v>17</v>
      </c>
      <c r="AI2" s="426">
        <v>18</v>
      </c>
      <c r="AJ2" s="426">
        <v>19</v>
      </c>
      <c r="AK2" s="426">
        <v>20</v>
      </c>
      <c r="AL2" s="426">
        <v>21</v>
      </c>
      <c r="AM2" s="426">
        <v>24</v>
      </c>
      <c r="AN2" s="426">
        <v>25</v>
      </c>
      <c r="AO2" s="426">
        <v>26</v>
      </c>
      <c r="AP2" s="426">
        <v>27</v>
      </c>
      <c r="AQ2" s="426">
        <v>28</v>
      </c>
      <c r="AR2" s="426">
        <v>3</v>
      </c>
      <c r="AS2" s="426">
        <v>4</v>
      </c>
      <c r="AT2" s="426">
        <v>5</v>
      </c>
      <c r="AU2" s="426">
        <v>6</v>
      </c>
      <c r="AV2" s="426">
        <v>7</v>
      </c>
      <c r="AW2" s="426">
        <v>10</v>
      </c>
      <c r="AX2" s="426">
        <v>11</v>
      </c>
      <c r="AY2" s="426">
        <v>12</v>
      </c>
      <c r="AZ2" s="426">
        <v>13</v>
      </c>
      <c r="BA2" s="426">
        <v>14</v>
      </c>
      <c r="BB2" s="426">
        <v>17</v>
      </c>
      <c r="BC2" s="426">
        <v>18</v>
      </c>
      <c r="BD2" s="426">
        <v>19</v>
      </c>
      <c r="BE2" s="426">
        <v>20</v>
      </c>
      <c r="BF2" s="426">
        <v>21</v>
      </c>
      <c r="BG2" s="426">
        <v>24</v>
      </c>
      <c r="BH2" s="426">
        <v>25</v>
      </c>
      <c r="BI2" s="426">
        <v>26</v>
      </c>
      <c r="BJ2" s="426">
        <v>27</v>
      </c>
      <c r="BK2" s="426">
        <v>28</v>
      </c>
      <c r="BL2" s="426">
        <v>31</v>
      </c>
      <c r="BM2" s="426">
        <v>1</v>
      </c>
      <c r="BN2" s="426">
        <v>2</v>
      </c>
      <c r="BO2" s="426">
        <v>3</v>
      </c>
      <c r="BP2" s="426">
        <v>4</v>
      </c>
      <c r="BQ2" s="426">
        <v>7</v>
      </c>
      <c r="BR2" s="426">
        <v>8</v>
      </c>
      <c r="BS2" s="426">
        <v>9</v>
      </c>
      <c r="BT2" s="426">
        <v>10</v>
      </c>
      <c r="BU2" s="426">
        <v>11</v>
      </c>
      <c r="BV2" s="426">
        <v>14</v>
      </c>
      <c r="BW2" s="426">
        <v>15</v>
      </c>
      <c r="BX2" s="426">
        <v>16</v>
      </c>
      <c r="BY2" s="426">
        <v>17</v>
      </c>
      <c r="BZ2" s="426">
        <v>18</v>
      </c>
      <c r="CA2" s="426">
        <v>21</v>
      </c>
      <c r="CB2" s="426">
        <v>22</v>
      </c>
      <c r="CC2" s="426">
        <v>23</v>
      </c>
      <c r="CD2" s="426">
        <v>24</v>
      </c>
      <c r="CE2" s="426">
        <v>25</v>
      </c>
      <c r="CF2" s="426">
        <v>28</v>
      </c>
      <c r="CG2" s="426">
        <v>29</v>
      </c>
      <c r="CH2" s="426">
        <v>30</v>
      </c>
      <c r="CI2" s="426">
        <v>1</v>
      </c>
      <c r="CJ2" s="426">
        <v>2</v>
      </c>
      <c r="CK2" s="426">
        <v>5</v>
      </c>
      <c r="CL2" s="426">
        <v>6</v>
      </c>
      <c r="CM2" s="426">
        <v>7</v>
      </c>
      <c r="CN2" s="426">
        <v>8</v>
      </c>
      <c r="CO2" s="426">
        <v>9</v>
      </c>
      <c r="CP2" s="426">
        <v>12</v>
      </c>
      <c r="CQ2" s="426">
        <v>13</v>
      </c>
      <c r="CR2" s="426">
        <v>14</v>
      </c>
      <c r="CS2" s="426">
        <v>15</v>
      </c>
      <c r="CT2" s="426">
        <v>16</v>
      </c>
      <c r="CU2" s="426">
        <v>19</v>
      </c>
      <c r="CV2" s="426">
        <v>20</v>
      </c>
      <c r="CW2" s="426">
        <v>21</v>
      </c>
      <c r="CX2" s="426">
        <v>22</v>
      </c>
      <c r="CY2" s="426">
        <v>23</v>
      </c>
      <c r="CZ2" s="426">
        <v>26</v>
      </c>
      <c r="DA2" s="426">
        <v>27</v>
      </c>
      <c r="DB2" s="426">
        <v>28</v>
      </c>
      <c r="DC2" s="426">
        <v>29</v>
      </c>
      <c r="DD2" s="426">
        <v>30</v>
      </c>
      <c r="DE2" s="426">
        <v>31</v>
      </c>
      <c r="DF2" s="426">
        <v>2</v>
      </c>
      <c r="DG2" s="426">
        <v>3</v>
      </c>
      <c r="DH2" s="426">
        <v>4</v>
      </c>
      <c r="DI2" s="426">
        <v>5</v>
      </c>
      <c r="DJ2" s="426">
        <v>6</v>
      </c>
      <c r="DK2" s="426">
        <v>9</v>
      </c>
      <c r="DL2" s="426">
        <v>10</v>
      </c>
      <c r="DM2" s="426">
        <v>11</v>
      </c>
      <c r="DN2" s="426">
        <v>12</v>
      </c>
      <c r="DO2" s="426">
        <v>13</v>
      </c>
      <c r="DP2" s="426">
        <v>16</v>
      </c>
      <c r="DQ2" s="426">
        <v>17</v>
      </c>
      <c r="DR2" s="426">
        <v>18</v>
      </c>
      <c r="DS2" s="426">
        <v>19</v>
      </c>
      <c r="DT2" s="426">
        <v>20</v>
      </c>
      <c r="DU2" s="426">
        <v>23</v>
      </c>
      <c r="DV2" s="426">
        <v>24</v>
      </c>
      <c r="DW2" s="426">
        <v>25</v>
      </c>
      <c r="DX2" s="426">
        <v>26</v>
      </c>
      <c r="DY2" s="426">
        <v>27</v>
      </c>
      <c r="DZ2" s="426">
        <v>30</v>
      </c>
      <c r="EA2" s="796">
        <v>1</v>
      </c>
      <c r="EB2" s="426">
        <v>2</v>
      </c>
      <c r="EC2" s="426">
        <v>3</v>
      </c>
      <c r="ED2" s="426">
        <v>4</v>
      </c>
      <c r="EE2" s="426">
        <v>7</v>
      </c>
      <c r="EF2" s="426">
        <v>8</v>
      </c>
      <c r="EG2" s="426">
        <v>9</v>
      </c>
      <c r="EH2" s="426">
        <v>10</v>
      </c>
      <c r="EI2" s="426">
        <v>11</v>
      </c>
      <c r="EJ2" s="426">
        <v>14</v>
      </c>
      <c r="EK2" s="426">
        <v>15</v>
      </c>
      <c r="EL2" s="426">
        <v>16</v>
      </c>
      <c r="EM2" s="426">
        <v>17</v>
      </c>
      <c r="EN2" s="426">
        <v>18</v>
      </c>
      <c r="EO2" s="426">
        <v>21</v>
      </c>
      <c r="EP2" s="426">
        <v>22</v>
      </c>
      <c r="EQ2" s="426">
        <v>23</v>
      </c>
      <c r="ER2" s="426">
        <v>24</v>
      </c>
      <c r="ES2" s="426">
        <v>25</v>
      </c>
      <c r="ET2" s="426">
        <v>28</v>
      </c>
      <c r="EU2" s="426">
        <v>29</v>
      </c>
      <c r="EV2" s="426">
        <v>30</v>
      </c>
      <c r="EW2" s="426">
        <v>31</v>
      </c>
      <c r="EX2" s="426">
        <v>1</v>
      </c>
      <c r="EY2" s="426">
        <v>4</v>
      </c>
      <c r="EZ2" s="426">
        <v>5</v>
      </c>
      <c r="FA2" s="426">
        <v>6</v>
      </c>
      <c r="FB2" s="426">
        <v>7</v>
      </c>
      <c r="FC2" s="426">
        <v>8</v>
      </c>
      <c r="FD2" s="426">
        <v>11</v>
      </c>
      <c r="FE2" s="426">
        <v>12</v>
      </c>
      <c r="FF2" s="426">
        <v>13</v>
      </c>
      <c r="FG2" s="426">
        <v>14</v>
      </c>
      <c r="FH2" s="426">
        <v>15</v>
      </c>
      <c r="FI2" s="426">
        <v>18</v>
      </c>
      <c r="FJ2" s="426">
        <v>19</v>
      </c>
      <c r="FK2" s="426">
        <v>20</v>
      </c>
      <c r="FL2" s="426">
        <v>21</v>
      </c>
      <c r="FM2" s="426">
        <v>22</v>
      </c>
      <c r="FN2" s="426">
        <v>25</v>
      </c>
      <c r="FO2" s="426">
        <v>26</v>
      </c>
      <c r="FP2" s="426">
        <v>27</v>
      </c>
      <c r="FQ2" s="426">
        <v>28</v>
      </c>
      <c r="FR2" s="426">
        <v>29</v>
      </c>
      <c r="FS2" s="426">
        <v>31</v>
      </c>
      <c r="FT2" s="426">
        <v>1</v>
      </c>
      <c r="FU2" s="426">
        <v>2</v>
      </c>
      <c r="FV2" s="426">
        <v>3</v>
      </c>
      <c r="FW2" s="426">
        <v>4</v>
      </c>
      <c r="FX2" s="426">
        <v>5</v>
      </c>
      <c r="FY2" s="426">
        <v>8</v>
      </c>
      <c r="FZ2" s="426">
        <v>9</v>
      </c>
      <c r="GA2" s="426">
        <v>10</v>
      </c>
      <c r="GB2" s="426">
        <v>11</v>
      </c>
      <c r="GC2" s="426">
        <v>12</v>
      </c>
      <c r="GD2" s="426">
        <v>15</v>
      </c>
      <c r="GE2" s="426">
        <v>16</v>
      </c>
      <c r="GF2" s="426">
        <v>17</v>
      </c>
      <c r="GG2" s="426">
        <v>18</v>
      </c>
      <c r="GH2" s="426">
        <v>19</v>
      </c>
      <c r="GI2" s="426">
        <v>22</v>
      </c>
      <c r="GJ2" s="426">
        <v>23</v>
      </c>
      <c r="GK2" s="426">
        <v>24</v>
      </c>
      <c r="GL2" s="426">
        <v>25</v>
      </c>
      <c r="GM2" s="426">
        <v>26</v>
      </c>
      <c r="GN2" s="426">
        <v>29</v>
      </c>
      <c r="GO2" s="426">
        <v>30</v>
      </c>
      <c r="GP2" s="426">
        <v>1</v>
      </c>
      <c r="GQ2" s="426">
        <v>2</v>
      </c>
      <c r="GR2" s="426">
        <v>3</v>
      </c>
      <c r="GS2" s="426">
        <v>6</v>
      </c>
      <c r="GT2" s="426">
        <v>7</v>
      </c>
      <c r="GU2" s="426">
        <v>8</v>
      </c>
      <c r="GV2" s="426">
        <v>9</v>
      </c>
      <c r="GW2" s="426">
        <v>10</v>
      </c>
      <c r="GX2" s="426">
        <v>13</v>
      </c>
      <c r="GY2" s="426">
        <v>14</v>
      </c>
      <c r="GZ2" s="426">
        <v>15</v>
      </c>
      <c r="HA2" s="426">
        <v>16</v>
      </c>
      <c r="HB2" s="426">
        <v>17</v>
      </c>
      <c r="HC2" s="426">
        <v>20</v>
      </c>
      <c r="HD2" s="426">
        <v>21</v>
      </c>
      <c r="HE2" s="426">
        <v>22</v>
      </c>
      <c r="HF2" s="426">
        <v>23</v>
      </c>
      <c r="HG2" s="426">
        <v>24</v>
      </c>
      <c r="HH2" s="426">
        <v>27</v>
      </c>
      <c r="HI2" s="426">
        <v>28</v>
      </c>
      <c r="HJ2" s="426">
        <v>29</v>
      </c>
      <c r="HK2" s="426">
        <v>30</v>
      </c>
    </row>
    <row r="3" spans="1:219" ht="32.25">
      <c r="A3" s="5" t="s">
        <v>0</v>
      </c>
      <c r="B3" s="425">
        <f t="shared" ref="B3:AQ3" si="0">SUM(B4:B8)</f>
        <v>103038653.19</v>
      </c>
      <c r="C3" s="425">
        <f t="shared" si="0"/>
        <v>102632292.47999999</v>
      </c>
      <c r="D3" s="425">
        <f t="shared" si="0"/>
        <v>102679600.7</v>
      </c>
      <c r="E3" s="425">
        <f t="shared" si="0"/>
        <v>102606422.72</v>
      </c>
      <c r="F3" s="425">
        <f t="shared" si="0"/>
        <v>102730297.10000001</v>
      </c>
      <c r="G3" s="425">
        <f t="shared" si="0"/>
        <v>102658394.60000001</v>
      </c>
      <c r="H3" s="425">
        <f t="shared" si="0"/>
        <v>102742606.50000001</v>
      </c>
      <c r="I3" s="425">
        <f t="shared" si="0"/>
        <v>102743806.06999999</v>
      </c>
      <c r="J3" s="425">
        <f t="shared" si="0"/>
        <v>102794417.23</v>
      </c>
      <c r="K3" s="425">
        <f t="shared" si="0"/>
        <v>102775796.7</v>
      </c>
      <c r="L3" s="425">
        <f t="shared" si="0"/>
        <v>102878937.86</v>
      </c>
      <c r="M3" s="425">
        <f t="shared" si="0"/>
        <v>102754311.47</v>
      </c>
      <c r="N3" s="425">
        <f t="shared" si="0"/>
        <v>103011572.54000001</v>
      </c>
      <c r="O3" s="425">
        <f t="shared" si="0"/>
        <v>103003632.69</v>
      </c>
      <c r="P3" s="425">
        <f t="shared" si="0"/>
        <v>103048461.00000001</v>
      </c>
      <c r="Q3" s="425">
        <f t="shared" si="0"/>
        <v>103109615.51000002</v>
      </c>
      <c r="R3" s="425">
        <f t="shared" si="0"/>
        <v>103166659.3</v>
      </c>
      <c r="S3" s="425">
        <f t="shared" si="0"/>
        <v>103257769.61999999</v>
      </c>
      <c r="T3" s="425">
        <f t="shared" si="0"/>
        <v>103454835.64000002</v>
      </c>
      <c r="U3" s="425">
        <f t="shared" si="0"/>
        <v>103101935.18000001</v>
      </c>
      <c r="V3" s="425">
        <f t="shared" si="0"/>
        <v>103326512.96000001</v>
      </c>
      <c r="W3" s="425">
        <f t="shared" si="0"/>
        <v>103704965.67</v>
      </c>
      <c r="X3" s="425">
        <f t="shared" si="0"/>
        <v>103808161.34999999</v>
      </c>
      <c r="Y3" s="425">
        <f t="shared" si="0"/>
        <v>103801451.19</v>
      </c>
      <c r="Z3" s="425">
        <f t="shared" si="0"/>
        <v>103095251.55</v>
      </c>
      <c r="AA3" s="425">
        <f t="shared" si="0"/>
        <v>103280593.77000001</v>
      </c>
      <c r="AB3" s="425">
        <f t="shared" si="0"/>
        <v>103331780.28999999</v>
      </c>
      <c r="AC3" s="425">
        <f t="shared" si="0"/>
        <v>103400599.28000002</v>
      </c>
      <c r="AD3" s="425">
        <f t="shared" si="0"/>
        <v>103273739.89</v>
      </c>
      <c r="AE3" s="425">
        <f t="shared" si="0"/>
        <v>103321964.60000001</v>
      </c>
      <c r="AF3" s="425">
        <f t="shared" si="0"/>
        <v>103146519.06</v>
      </c>
      <c r="AG3" s="425">
        <f t="shared" si="0"/>
        <v>103208187.86</v>
      </c>
      <c r="AH3" s="425">
        <f t="shared" si="0"/>
        <v>103450367.48999999</v>
      </c>
      <c r="AI3" s="425">
        <f t="shared" si="0"/>
        <v>103393989.56999999</v>
      </c>
      <c r="AJ3" s="425">
        <f t="shared" si="0"/>
        <v>103218069.77</v>
      </c>
      <c r="AK3" s="425">
        <f t="shared" si="0"/>
        <v>103462395.17999999</v>
      </c>
      <c r="AL3" s="425">
        <f t="shared" si="0"/>
        <v>103485497.51000001</v>
      </c>
      <c r="AM3" s="425">
        <f t="shared" si="0"/>
        <v>103490904.11</v>
      </c>
      <c r="AN3" s="425">
        <f t="shared" si="0"/>
        <v>103583396.31999999</v>
      </c>
      <c r="AO3" s="425">
        <f t="shared" si="0"/>
        <v>103485938.16</v>
      </c>
      <c r="AP3" s="425">
        <f t="shared" si="0"/>
        <v>103253598.48</v>
      </c>
      <c r="AQ3" s="425">
        <f t="shared" si="0"/>
        <v>103434042.05</v>
      </c>
      <c r="AR3" s="425">
        <f t="shared" ref="AR3:CH3" si="1">SUM(AR4:AR8)</f>
        <v>103848104.51000001</v>
      </c>
      <c r="AS3" s="425">
        <f t="shared" si="1"/>
        <v>103767542.66</v>
      </c>
      <c r="AT3" s="425">
        <f t="shared" si="1"/>
        <v>103156301.84</v>
      </c>
      <c r="AU3" s="425">
        <f t="shared" si="1"/>
        <v>103183365.42</v>
      </c>
      <c r="AV3" s="425">
        <f t="shared" si="1"/>
        <v>103302179.23</v>
      </c>
      <c r="AW3" s="425">
        <f t="shared" si="1"/>
        <v>103370061.80000001</v>
      </c>
      <c r="AX3" s="425">
        <f t="shared" si="1"/>
        <v>103182102.54000002</v>
      </c>
      <c r="AY3" s="425">
        <f t="shared" si="1"/>
        <v>103296436.72</v>
      </c>
      <c r="AZ3" s="425">
        <f t="shared" si="1"/>
        <v>103495804.40000001</v>
      </c>
      <c r="BA3" s="425">
        <f t="shared" si="1"/>
        <v>103524825.41</v>
      </c>
      <c r="BB3" s="425">
        <f t="shared" si="1"/>
        <v>103520463.76000001</v>
      </c>
      <c r="BC3" s="425">
        <f t="shared" si="1"/>
        <v>103614331.68000001</v>
      </c>
      <c r="BD3" s="425">
        <f t="shared" si="1"/>
        <v>103439976.97</v>
      </c>
      <c r="BE3" s="425">
        <f t="shared" si="1"/>
        <v>103359741.27</v>
      </c>
      <c r="BF3" s="425">
        <f t="shared" si="1"/>
        <v>103701072.40000001</v>
      </c>
      <c r="BG3" s="425">
        <f t="shared" si="1"/>
        <v>103788987.64999999</v>
      </c>
      <c r="BH3" s="425">
        <f t="shared" si="1"/>
        <v>103875258.60000001</v>
      </c>
      <c r="BI3" s="425">
        <f t="shared" si="1"/>
        <v>103657997.48999999</v>
      </c>
      <c r="BJ3" s="425">
        <f t="shared" si="1"/>
        <v>103777507.84</v>
      </c>
      <c r="BK3" s="425">
        <f t="shared" si="1"/>
        <v>103863898.36</v>
      </c>
      <c r="BL3" s="425">
        <f t="shared" si="1"/>
        <v>103968231.2</v>
      </c>
      <c r="BM3" s="425">
        <f t="shared" si="1"/>
        <v>103938649.60000001</v>
      </c>
      <c r="BN3" s="425">
        <f t="shared" si="1"/>
        <v>103745179.67</v>
      </c>
      <c r="BO3" s="425">
        <f t="shared" si="1"/>
        <v>103362962.08000001</v>
      </c>
      <c r="BP3" s="425">
        <f t="shared" si="1"/>
        <v>103287768.67999999</v>
      </c>
      <c r="BQ3" s="425">
        <f t="shared" si="1"/>
        <v>103310197.09999999</v>
      </c>
      <c r="BR3" s="425">
        <f t="shared" si="1"/>
        <v>103523585.22</v>
      </c>
      <c r="BS3" s="425">
        <f t="shared" si="1"/>
        <v>103480363.11000001</v>
      </c>
      <c r="BT3" s="425">
        <f t="shared" si="1"/>
        <v>103512947.63000001</v>
      </c>
      <c r="BU3" s="425">
        <f t="shared" si="1"/>
        <v>103575070.59999999</v>
      </c>
      <c r="BV3" s="425">
        <f t="shared" si="1"/>
        <v>103589172.34</v>
      </c>
      <c r="BW3" s="425">
        <f t="shared" si="1"/>
        <v>103614448.15000001</v>
      </c>
      <c r="BX3" s="425">
        <f t="shared" si="1"/>
        <v>103803762.45</v>
      </c>
      <c r="BY3" s="425">
        <f t="shared" si="1"/>
        <v>103835876.94</v>
      </c>
      <c r="BZ3" s="425">
        <f t="shared" si="1"/>
        <v>103883991.30000001</v>
      </c>
      <c r="CA3" s="425">
        <f t="shared" si="1"/>
        <v>104022332.09</v>
      </c>
      <c r="CB3" s="425">
        <f t="shared" si="1"/>
        <v>103953380.9082</v>
      </c>
      <c r="CC3" s="425">
        <f t="shared" si="1"/>
        <v>103983687.36</v>
      </c>
      <c r="CD3" s="425">
        <f t="shared" si="1"/>
        <v>103960894.71000001</v>
      </c>
      <c r="CE3" s="425">
        <f t="shared" si="1"/>
        <v>103941841.77</v>
      </c>
      <c r="CF3" s="425">
        <f t="shared" si="1"/>
        <v>104041916.84</v>
      </c>
      <c r="CG3" s="425">
        <f t="shared" si="1"/>
        <v>103884966.00999999</v>
      </c>
      <c r="CH3" s="425">
        <f t="shared" si="1"/>
        <v>103998612.30000001</v>
      </c>
      <c r="CI3" s="425">
        <f t="shared" ref="CI3:CV3" si="2">SUM(CI4:CI8)</f>
        <v>104028934.72</v>
      </c>
      <c r="CJ3" s="425">
        <f t="shared" si="2"/>
        <v>103899353.72000001</v>
      </c>
      <c r="CK3" s="425">
        <f t="shared" si="2"/>
        <v>104149004.08000001</v>
      </c>
      <c r="CL3" s="425">
        <f t="shared" si="2"/>
        <v>103918868.03</v>
      </c>
      <c r="CM3" s="425">
        <f t="shared" si="2"/>
        <v>103679937.73999999</v>
      </c>
      <c r="CN3" s="425">
        <f t="shared" si="2"/>
        <v>103946404.85000001</v>
      </c>
      <c r="CO3" s="425">
        <f t="shared" si="2"/>
        <v>104012758.55</v>
      </c>
      <c r="CP3" s="425">
        <f t="shared" si="2"/>
        <v>104062871.65000002</v>
      </c>
      <c r="CQ3" s="425">
        <f t="shared" si="2"/>
        <v>103981059.92</v>
      </c>
      <c r="CR3" s="425">
        <f t="shared" si="2"/>
        <v>103715564.4153</v>
      </c>
      <c r="CS3" s="425">
        <f t="shared" si="2"/>
        <v>103898317.06999999</v>
      </c>
      <c r="CT3" s="425">
        <f t="shared" si="2"/>
        <v>103842811.94000001</v>
      </c>
      <c r="CU3" s="425">
        <f t="shared" si="2"/>
        <v>103982582.67</v>
      </c>
      <c r="CV3" s="425">
        <f t="shared" si="2"/>
        <v>104199969.90000001</v>
      </c>
      <c r="CW3" s="425">
        <f t="shared" ref="CW3:DE3" si="3">SUM(CW4:CW8)</f>
        <v>104272088.7</v>
      </c>
      <c r="CX3" s="425">
        <f t="shared" si="3"/>
        <v>104234613.45</v>
      </c>
      <c r="CY3" s="425">
        <f t="shared" si="3"/>
        <v>104260401.31000002</v>
      </c>
      <c r="CZ3" s="425">
        <f t="shared" si="3"/>
        <v>104181453.66</v>
      </c>
      <c r="DA3" s="425">
        <f t="shared" si="3"/>
        <v>104348077.8</v>
      </c>
      <c r="DB3" s="425">
        <f t="shared" si="3"/>
        <v>104241893.88000001</v>
      </c>
      <c r="DC3" s="425">
        <f t="shared" si="3"/>
        <v>104313451.23</v>
      </c>
      <c r="DD3" s="425">
        <f t="shared" si="3"/>
        <v>104475265.06</v>
      </c>
      <c r="DE3" s="425">
        <f t="shared" si="3"/>
        <v>104604491.31</v>
      </c>
      <c r="DF3" s="425">
        <f t="shared" ref="DF3:DZ3" si="4">SUM(DF4:DF8)</f>
        <v>104613905.94000001</v>
      </c>
      <c r="DG3" s="425">
        <f t="shared" si="4"/>
        <v>104658995.52</v>
      </c>
      <c r="DH3" s="425">
        <f t="shared" si="4"/>
        <v>103853493.00999999</v>
      </c>
      <c r="DI3" s="425">
        <f t="shared" si="4"/>
        <v>103986069.69</v>
      </c>
      <c r="DJ3" s="425">
        <f t="shared" si="4"/>
        <v>104243937.91</v>
      </c>
      <c r="DK3" s="425">
        <f t="shared" si="4"/>
        <v>104037303.41</v>
      </c>
      <c r="DL3" s="425">
        <f t="shared" si="4"/>
        <v>103938248.14000002</v>
      </c>
      <c r="DM3" s="425">
        <f t="shared" si="4"/>
        <v>104128651.48</v>
      </c>
      <c r="DN3" s="425">
        <f t="shared" si="4"/>
        <v>104070704.89</v>
      </c>
      <c r="DO3" s="425">
        <f t="shared" si="4"/>
        <v>103938578.47999999</v>
      </c>
      <c r="DP3" s="425">
        <f t="shared" si="4"/>
        <v>104020511.48999999</v>
      </c>
      <c r="DQ3" s="425">
        <f t="shared" si="4"/>
        <v>104229000.11000001</v>
      </c>
      <c r="DR3" s="425">
        <f t="shared" si="4"/>
        <v>104257692.88</v>
      </c>
      <c r="DS3" s="425">
        <f t="shared" si="4"/>
        <v>104006627.20999999</v>
      </c>
      <c r="DT3" s="425">
        <f t="shared" si="4"/>
        <v>104182519.56</v>
      </c>
      <c r="DU3" s="425">
        <f t="shared" si="4"/>
        <v>104363860.24000001</v>
      </c>
      <c r="DV3" s="425">
        <f t="shared" si="4"/>
        <v>104358203.91</v>
      </c>
      <c r="DW3" s="425">
        <f t="shared" si="4"/>
        <v>104395864.43000001</v>
      </c>
      <c r="DX3" s="425">
        <f t="shared" si="4"/>
        <v>104206948.75</v>
      </c>
      <c r="DY3" s="425">
        <f t="shared" si="4"/>
        <v>104325347</v>
      </c>
      <c r="DZ3" s="425">
        <f t="shared" si="4"/>
        <v>104545117.25</v>
      </c>
      <c r="EA3" s="425">
        <f t="shared" ref="EA3:ES3" si="5">SUM(EA4:EA8)</f>
        <v>104632392.96000001</v>
      </c>
      <c r="EB3" s="425">
        <f t="shared" si="5"/>
        <v>104615093.50999999</v>
      </c>
      <c r="EC3" s="425">
        <f t="shared" si="5"/>
        <v>103961145.08000001</v>
      </c>
      <c r="ED3" s="425">
        <f t="shared" si="5"/>
        <v>104121442.44</v>
      </c>
      <c r="EE3" s="425">
        <f t="shared" si="5"/>
        <v>104220398.02000001</v>
      </c>
      <c r="EF3" s="425">
        <f t="shared" si="5"/>
        <v>104071904.37000002</v>
      </c>
      <c r="EG3" s="425">
        <f t="shared" si="5"/>
        <v>104136170.98999999</v>
      </c>
      <c r="EH3" s="425">
        <f t="shared" si="5"/>
        <v>104254847.00999999</v>
      </c>
      <c r="EI3" s="425">
        <f t="shared" si="5"/>
        <v>104206202.74000001</v>
      </c>
      <c r="EJ3" s="425">
        <f t="shared" si="5"/>
        <v>104385449.05</v>
      </c>
      <c r="EK3" s="425">
        <f t="shared" si="5"/>
        <v>104324306.24000001</v>
      </c>
      <c r="EL3" s="425">
        <f t="shared" si="5"/>
        <v>104205145.94</v>
      </c>
      <c r="EM3" s="425">
        <f t="shared" si="5"/>
        <v>104156684.56999999</v>
      </c>
      <c r="EN3" s="425">
        <f t="shared" si="5"/>
        <v>104260392.94</v>
      </c>
      <c r="EO3" s="425">
        <f t="shared" si="5"/>
        <v>104348638.21000001</v>
      </c>
      <c r="EP3" s="425">
        <f t="shared" si="5"/>
        <v>104393319.68000001</v>
      </c>
      <c r="EQ3" s="425">
        <f t="shared" si="5"/>
        <v>104355827.80000001</v>
      </c>
      <c r="ER3" s="425">
        <f t="shared" si="5"/>
        <v>104326375.34</v>
      </c>
      <c r="ES3" s="425">
        <f t="shared" si="5"/>
        <v>104434323.36</v>
      </c>
      <c r="ET3" s="425">
        <f t="shared" ref="ET3:FS3" si="6">SUM(ET4:ET8)</f>
        <v>104590979.25</v>
      </c>
      <c r="EU3" s="425">
        <f t="shared" si="6"/>
        <v>104489257.72</v>
      </c>
      <c r="EV3" s="425">
        <f t="shared" si="6"/>
        <v>104531664.73</v>
      </c>
      <c r="EW3" s="425">
        <f t="shared" si="6"/>
        <v>104758493.67999999</v>
      </c>
      <c r="EX3" s="425">
        <f t="shared" si="6"/>
        <v>104729052.75</v>
      </c>
      <c r="EY3" s="425">
        <f t="shared" si="6"/>
        <v>104915375.98</v>
      </c>
      <c r="EZ3" s="425">
        <f t="shared" si="6"/>
        <v>104998593.69</v>
      </c>
      <c r="FA3" s="425">
        <f t="shared" si="6"/>
        <v>104432968.46000001</v>
      </c>
      <c r="FB3" s="425">
        <f t="shared" si="6"/>
        <v>104528119.13</v>
      </c>
      <c r="FC3" s="425">
        <f t="shared" si="6"/>
        <v>104398081.86</v>
      </c>
      <c r="FD3" s="425">
        <f t="shared" si="6"/>
        <v>104526612.95</v>
      </c>
      <c r="FE3" s="425">
        <f t="shared" si="6"/>
        <v>104502536.00999999</v>
      </c>
      <c r="FF3" s="425">
        <f t="shared" si="6"/>
        <v>104754828.77000001</v>
      </c>
      <c r="FG3" s="425">
        <f t="shared" si="6"/>
        <v>104779517.24000001</v>
      </c>
      <c r="FH3" s="425">
        <f t="shared" si="6"/>
        <v>104809758.75000001</v>
      </c>
      <c r="FI3" s="425">
        <f t="shared" si="6"/>
        <v>104769107.23999999</v>
      </c>
      <c r="FJ3" s="425">
        <f t="shared" si="6"/>
        <v>104812426.84</v>
      </c>
      <c r="FK3" s="425">
        <f t="shared" si="6"/>
        <v>104886101.84999999</v>
      </c>
      <c r="FL3" s="425">
        <f t="shared" si="6"/>
        <v>104922573.88000001</v>
      </c>
      <c r="FM3" s="425">
        <f t="shared" si="6"/>
        <v>104960387.44</v>
      </c>
      <c r="FN3" s="425">
        <f t="shared" si="6"/>
        <v>105021230.47999999</v>
      </c>
      <c r="FO3" s="425">
        <f t="shared" si="6"/>
        <v>105124324.14000002</v>
      </c>
      <c r="FP3" s="425">
        <f t="shared" si="6"/>
        <v>105131671.82000001</v>
      </c>
      <c r="FQ3" s="425">
        <f t="shared" si="6"/>
        <v>104987623.97000001</v>
      </c>
      <c r="FR3" s="425">
        <f t="shared" si="6"/>
        <v>105239558.19</v>
      </c>
      <c r="FS3" s="425">
        <f t="shared" si="6"/>
        <v>105373120.5</v>
      </c>
      <c r="FT3" s="425">
        <f t="shared" ref="FT3:GO3" si="7">SUM(FT4:FT8)</f>
        <v>105369644.66</v>
      </c>
      <c r="FU3" s="425">
        <f t="shared" si="7"/>
        <v>105193146.39</v>
      </c>
      <c r="FV3" s="425">
        <f t="shared" si="7"/>
        <v>104832907.19999999</v>
      </c>
      <c r="FW3" s="425">
        <f t="shared" si="7"/>
        <v>104829798.89</v>
      </c>
      <c r="FX3" s="425">
        <f t="shared" si="7"/>
        <v>104854966.95</v>
      </c>
      <c r="FY3" s="425">
        <f t="shared" si="7"/>
        <v>104923860.04000001</v>
      </c>
      <c r="FZ3" s="425">
        <f t="shared" si="7"/>
        <v>104907710.98999999</v>
      </c>
      <c r="GA3" s="425">
        <f t="shared" si="7"/>
        <v>104908689.20999999</v>
      </c>
      <c r="GB3" s="425">
        <f t="shared" si="7"/>
        <v>104951998.37</v>
      </c>
      <c r="GC3" s="425">
        <f t="shared" si="7"/>
        <v>104962797.72000001</v>
      </c>
      <c r="GD3" s="425">
        <f t="shared" si="7"/>
        <v>104979384.4906</v>
      </c>
      <c r="GE3" s="425">
        <f t="shared" si="7"/>
        <v>105082035.67999999</v>
      </c>
      <c r="GF3" s="425">
        <f t="shared" si="7"/>
        <v>105131732.05000001</v>
      </c>
      <c r="GG3" s="425">
        <f t="shared" si="7"/>
        <v>105211036.66</v>
      </c>
      <c r="GH3" s="425">
        <f t="shared" si="7"/>
        <v>105122822.78</v>
      </c>
      <c r="GI3" s="425">
        <f t="shared" si="7"/>
        <v>105283107.80000001</v>
      </c>
      <c r="GJ3" s="425">
        <f t="shared" si="7"/>
        <v>105139923.37</v>
      </c>
      <c r="GK3" s="425">
        <f t="shared" si="7"/>
        <v>105081577.95999999</v>
      </c>
      <c r="GL3" s="425">
        <f t="shared" si="7"/>
        <v>105174412.15000001</v>
      </c>
      <c r="GM3" s="425">
        <f t="shared" si="7"/>
        <v>105199863.66000001</v>
      </c>
      <c r="GN3" s="425">
        <f t="shared" si="7"/>
        <v>105276669.19</v>
      </c>
      <c r="GO3" s="425">
        <f t="shared" si="7"/>
        <v>105456753.48999999</v>
      </c>
      <c r="GP3" s="425">
        <f t="shared" ref="GP3:HK3" si="8">SUM(GP4:GP8)</f>
        <v>105432967.65000001</v>
      </c>
      <c r="GQ3" s="425">
        <f t="shared" si="8"/>
        <v>104943311.67</v>
      </c>
      <c r="GR3" s="425">
        <f t="shared" si="8"/>
        <v>104990885.44</v>
      </c>
      <c r="GS3" s="425">
        <f t="shared" si="8"/>
        <v>104936965.58</v>
      </c>
      <c r="GT3" s="425">
        <f t="shared" si="8"/>
        <v>105008131.56000002</v>
      </c>
      <c r="GU3" s="425">
        <f t="shared" si="8"/>
        <v>105012439.44</v>
      </c>
      <c r="GV3" s="425">
        <f t="shared" si="8"/>
        <v>105076376.72</v>
      </c>
      <c r="GW3" s="425">
        <f t="shared" si="8"/>
        <v>105125026.54000001</v>
      </c>
      <c r="GX3" s="425">
        <f t="shared" si="8"/>
        <v>105201368.92</v>
      </c>
      <c r="GY3" s="425">
        <f t="shared" si="8"/>
        <v>105074748.19999999</v>
      </c>
      <c r="GZ3" s="425">
        <f t="shared" si="8"/>
        <v>105174050.08</v>
      </c>
      <c r="HA3" s="425">
        <f t="shared" si="8"/>
        <v>105188877.29000001</v>
      </c>
      <c r="HB3" s="425">
        <f t="shared" si="8"/>
        <v>105280736.31</v>
      </c>
      <c r="HC3" s="425">
        <f t="shared" si="8"/>
        <v>105393481.45999999</v>
      </c>
      <c r="HD3" s="425">
        <f t="shared" si="8"/>
        <v>105408861.42</v>
      </c>
      <c r="HE3" s="425">
        <f t="shared" si="8"/>
        <v>105394470.15000001</v>
      </c>
      <c r="HF3" s="425">
        <f t="shared" si="8"/>
        <v>105520874.34999999</v>
      </c>
      <c r="HG3" s="425">
        <f t="shared" si="8"/>
        <v>105478191.95</v>
      </c>
      <c r="HH3" s="425">
        <f t="shared" si="8"/>
        <v>105494278.14000002</v>
      </c>
      <c r="HI3" s="425">
        <f t="shared" si="8"/>
        <v>105351499.30999999</v>
      </c>
      <c r="HJ3" s="425">
        <f t="shared" si="8"/>
        <v>105501453.95</v>
      </c>
      <c r="HK3" s="425">
        <f t="shared" si="8"/>
        <v>105551148.37</v>
      </c>
    </row>
    <row r="4" spans="1:219">
      <c r="A4" s="6" t="s">
        <v>1</v>
      </c>
      <c r="B4" s="351">
        <f>'січень 2025'!C67</f>
        <v>65800005.439999998</v>
      </c>
      <c r="C4" s="351">
        <f>'січень 2025'!E67</f>
        <v>65931845.07</v>
      </c>
      <c r="D4" s="351">
        <f>'січень 2025'!G67</f>
        <v>65964806.850000001</v>
      </c>
      <c r="E4" s="351">
        <f>'січень 2025'!I67</f>
        <v>65881713.229999997</v>
      </c>
      <c r="F4" s="351">
        <f>'січень 2025'!K67</f>
        <v>65818904.649999999</v>
      </c>
      <c r="G4" s="351">
        <f>'січень 2025'!M67</f>
        <v>65741664.980000004</v>
      </c>
      <c r="H4" s="351">
        <f>'січень 2025'!O67</f>
        <v>65823650.690000005</v>
      </c>
      <c r="I4" s="351">
        <f>'січень 2025'!Q67</f>
        <v>65812952.239999995</v>
      </c>
      <c r="J4" s="351">
        <f>'січень 2025'!S67</f>
        <v>65864010.049999997</v>
      </c>
      <c r="K4" s="351">
        <f>'січень 2025'!U67</f>
        <v>57770982.480000004</v>
      </c>
      <c r="L4" s="351">
        <f>'січень 2025'!W67</f>
        <v>66185695.519999996</v>
      </c>
      <c r="M4" s="351">
        <f>'січень 2025'!Y67</f>
        <v>66059312.969999999</v>
      </c>
      <c r="N4" s="351">
        <f>'січень 2025'!AA67</f>
        <v>66302384.630000003</v>
      </c>
      <c r="O4" s="351">
        <f>'січень 2025'!AC67</f>
        <v>66296302.569999993</v>
      </c>
      <c r="P4" s="351">
        <f>'січень 2025'!AE67</f>
        <v>65958710.879999995</v>
      </c>
      <c r="Q4" s="351">
        <f>'січень 2025'!AG67</f>
        <v>66018076.560000002</v>
      </c>
      <c r="R4" s="351">
        <f>'січень 2025'!AI67</f>
        <v>66073331.489999995</v>
      </c>
      <c r="S4" s="351">
        <f>'січень 2025'!AK67</f>
        <v>66159570.209999993</v>
      </c>
      <c r="T4" s="351">
        <f>'січень 2025'!AM67</f>
        <v>66355474.380000003</v>
      </c>
      <c r="U4" s="351">
        <f>'січень 2025'!AO67</f>
        <v>65314357.770000003</v>
      </c>
      <c r="V4" s="351">
        <f>'січень 2025'!AQ67</f>
        <v>65518330.729999997</v>
      </c>
      <c r="W4" s="351">
        <f>'січень 2025'!AS67</f>
        <v>65728159.119999997</v>
      </c>
      <c r="X4" s="351">
        <f>лютий2025!C68</f>
        <v>65825202.310000002</v>
      </c>
      <c r="Y4" s="351">
        <f>лютий2025!E68</f>
        <v>65816617.560000002</v>
      </c>
      <c r="Z4" s="351">
        <f>лютий2025!G68</f>
        <v>65652515.75</v>
      </c>
      <c r="AA4" s="351">
        <f>лютий2025!I68</f>
        <v>65877600.939999998</v>
      </c>
      <c r="AB4" s="351">
        <f>лютий2025!K68</f>
        <v>65903991.409999996</v>
      </c>
      <c r="AC4" s="351">
        <f>лютий2025!M68</f>
        <v>65966986.540000007</v>
      </c>
      <c r="AD4" s="351">
        <f>лютий2025!O68</f>
        <v>65835597.119999997</v>
      </c>
      <c r="AE4" s="351">
        <f>лютий2025!Q68</f>
        <v>66002653.599999994</v>
      </c>
      <c r="AF4" s="351">
        <f>лютий2025!S68</f>
        <v>65825375.979999989</v>
      </c>
      <c r="AG4" s="351">
        <f>лютий2025!U68</f>
        <v>65888851.030000001</v>
      </c>
      <c r="AH4" s="351">
        <f>лютий2025!W68</f>
        <v>66125534.469999999</v>
      </c>
      <c r="AI4" s="351">
        <f>лютий2025!Y68</f>
        <v>65935396.960000001</v>
      </c>
      <c r="AJ4" s="351">
        <f>лютий2025!AA68</f>
        <v>65749237.909999996</v>
      </c>
      <c r="AK4" s="351">
        <f>лютий2025!AC68</f>
        <v>65991731.269999996</v>
      </c>
      <c r="AL4" s="351">
        <f>лютий2025!AE68</f>
        <v>66012231.149999999</v>
      </c>
      <c r="AM4" s="351">
        <f>лютий2025!AG68</f>
        <v>66012074.060000002</v>
      </c>
      <c r="AN4" s="351">
        <f>лютий2025!AI68</f>
        <v>66092146.789999992</v>
      </c>
      <c r="AO4" s="351">
        <f>лютий2025!AK68</f>
        <v>59300349.079999998</v>
      </c>
      <c r="AP4" s="351">
        <f>лютий2025!AM68</f>
        <v>65739572.689999998</v>
      </c>
      <c r="AQ4" s="351">
        <f>лютий2025!AO68</f>
        <v>65769103.629999995</v>
      </c>
      <c r="AR4" s="351">
        <f>березень2025!G66</f>
        <v>66177108.909999996</v>
      </c>
      <c r="AS4" s="351">
        <f>березень2025!I66</f>
        <v>66096888.819999993</v>
      </c>
      <c r="AT4" s="351">
        <f>березень2025!K66</f>
        <v>66045543.460000001</v>
      </c>
      <c r="AU4" s="351">
        <f>березень2025!M66</f>
        <v>66070626.82</v>
      </c>
      <c r="AV4" s="351">
        <f>березень2025!O66</f>
        <v>66163299.960000008</v>
      </c>
      <c r="AW4" s="351">
        <f>березень2025!Q66</f>
        <v>66229108.780000001</v>
      </c>
      <c r="AX4" s="351">
        <f>березень2025!S66</f>
        <v>66037312.090000004</v>
      </c>
      <c r="AY4" s="351">
        <f>березень2025!U66</f>
        <v>66168514.219999999</v>
      </c>
      <c r="AZ4" s="351">
        <f>березень2025!W66</f>
        <v>66364617.980000004</v>
      </c>
      <c r="BA4" s="351">
        <f>березень2025!Y66</f>
        <v>66391534.07</v>
      </c>
      <c r="BB4" s="351">
        <f>березень2025!AA66</f>
        <v>66376725.220000006</v>
      </c>
      <c r="BC4" s="351">
        <f>березень2025!AC66</f>
        <v>66468488.210000001</v>
      </c>
      <c r="BD4" s="351">
        <f>березень2025!AE66</f>
        <v>66171363.550000004</v>
      </c>
      <c r="BE4" s="351">
        <f>березень2025!AG66</f>
        <v>66089022.93</v>
      </c>
      <c r="BF4" s="351">
        <f>березень2025!AI66</f>
        <v>66327298.730000004</v>
      </c>
      <c r="BG4" s="351">
        <f>березень2025!AK66</f>
        <v>66408899.259999998</v>
      </c>
      <c r="BH4" s="351">
        <f>березень2025!AM66</f>
        <v>66493065.280000001</v>
      </c>
      <c r="BI4" s="351">
        <f>березень2025!AO66</f>
        <v>66355858.299999997</v>
      </c>
      <c r="BJ4" s="351">
        <f>березень2025!AQ66</f>
        <v>66478935.620000005</v>
      </c>
      <c r="BK4" s="351">
        <f>березень2025!AS66</f>
        <v>66563328.619999997</v>
      </c>
      <c r="BL4" s="351">
        <f>березень2025!AU66</f>
        <v>66503729.219999999</v>
      </c>
      <c r="BM4" s="351">
        <f>'квітень 2025'!C65</f>
        <v>66471569.920000002</v>
      </c>
      <c r="BN4" s="351">
        <f>'квітень 2025'!E65</f>
        <v>66369601.349999994</v>
      </c>
      <c r="BO4" s="351">
        <f>'квітень 2025'!G65</f>
        <v>66498772.170000002</v>
      </c>
      <c r="BP4" s="351">
        <f>'квітень 2025'!I65</f>
        <v>66421413.979999997</v>
      </c>
      <c r="BQ4" s="351">
        <f>'квітень 2025'!K65</f>
        <v>66424154.179999992</v>
      </c>
      <c r="BR4" s="707">
        <f>'квітень 2025'!M65</f>
        <v>66632017.710000001</v>
      </c>
      <c r="BS4" s="7">
        <f>'квітень 2025'!O65</f>
        <v>66509452.799999997</v>
      </c>
      <c r="BT4" s="7">
        <f>'квітень 2025'!Q65</f>
        <v>66539174.890000001</v>
      </c>
      <c r="BU4" s="7">
        <f>'квітень 2025'!S65</f>
        <v>66598208.030000001</v>
      </c>
      <c r="BV4" s="7">
        <f>'квітень 2025'!U65</f>
        <v>66606415.309999995</v>
      </c>
      <c r="BW4" s="7">
        <f>'квітень 2025'!W65</f>
        <v>66638578.780000001</v>
      </c>
      <c r="BX4" s="7">
        <f>'квітень 2025'!Y65</f>
        <v>66022200.439999998</v>
      </c>
      <c r="BY4" s="7">
        <f>'квітень 2025'!AA65</f>
        <v>66048903.030000001</v>
      </c>
      <c r="BZ4" s="7">
        <f>'квітень 2025'!AC65</f>
        <v>66094802.020000003</v>
      </c>
      <c r="CA4" s="7">
        <f>'квітень 2025'!AE65</f>
        <v>66227002.990000002</v>
      </c>
      <c r="CB4" s="7">
        <f>'квітень 2025'!AG65</f>
        <v>66156005.208200008</v>
      </c>
      <c r="CC4" s="7">
        <f>'квітень 2025'!AI65</f>
        <v>66184265.050000004</v>
      </c>
      <c r="CD4" s="7">
        <f>'квітень 2025'!AK65</f>
        <v>66222450.680000007</v>
      </c>
      <c r="CE4" s="7">
        <f>'квітень 2025'!AM65</f>
        <v>66201351.149999991</v>
      </c>
      <c r="CF4" s="7">
        <f>'квітень 2025'!AO65</f>
        <v>66292681.020000003</v>
      </c>
      <c r="CG4" s="7">
        <f>'квітень 2025'!AQ65</f>
        <v>66133683.599999994</v>
      </c>
      <c r="CH4" s="7">
        <f>'квітень 2025'!AS65</f>
        <v>66164387.539999999</v>
      </c>
      <c r="CI4" s="7">
        <f>'травень 2025'!C64</f>
        <v>66191931.840000004</v>
      </c>
      <c r="CJ4" s="7">
        <f>'травень 2025'!E64</f>
        <v>66060222.470000006</v>
      </c>
      <c r="CK4" s="7">
        <f>'травень 2025'!G64</f>
        <v>66339643.149999999</v>
      </c>
      <c r="CL4" s="7">
        <f>'травень 2025'!I64</f>
        <v>66634176.460000008</v>
      </c>
      <c r="CM4" s="7">
        <f>'травень 2025'!K64</f>
        <v>66374933.100000001</v>
      </c>
      <c r="CN4" s="7">
        <f>'травень 2025'!M64</f>
        <v>66632783.5</v>
      </c>
      <c r="CO4" s="7">
        <f>'травень 2025'!O64</f>
        <v>66697045.609999999</v>
      </c>
      <c r="CP4" s="7">
        <f>'травень 2025'!Q64</f>
        <v>66737088.960000008</v>
      </c>
      <c r="CQ4" s="7">
        <f>'травень 2025'!S64</f>
        <v>66653185.649999999</v>
      </c>
      <c r="CR4" s="7">
        <f>'травень 2025'!U64</f>
        <v>66530904.725299999</v>
      </c>
      <c r="CS4" s="7">
        <f>'травень 2025'!W64</f>
        <v>66711573.989999995</v>
      </c>
      <c r="CT4" s="7">
        <f>'травень 2025'!Y64</f>
        <v>66653985.460000008</v>
      </c>
      <c r="CU4" s="7">
        <f>'травень 2025'!AA64</f>
        <v>66787368.450000003</v>
      </c>
      <c r="CV4" s="7">
        <f>'травень 2025'!AC64</f>
        <v>66879869.349999994</v>
      </c>
      <c r="CW4" s="7">
        <f>'травень 2025'!AE64</f>
        <v>66949904.760000005</v>
      </c>
      <c r="CX4" s="7">
        <f>'травень 2025'!AG64</f>
        <v>66910346.099999994</v>
      </c>
      <c r="CY4" s="7">
        <f>'травень 2025'!AI64</f>
        <v>66933433.460000008</v>
      </c>
      <c r="CZ4" s="7">
        <f>'травень 2025'!AK64</f>
        <v>66848235.600000001</v>
      </c>
      <c r="DA4" s="7">
        <f>'травень 2025'!AM64</f>
        <v>66984269.489999995</v>
      </c>
      <c r="DB4" s="7">
        <f>'травень 2025'!AO64</f>
        <v>66444751.820000008</v>
      </c>
      <c r="DC4" s="7">
        <f>'травень 2025'!AQ64</f>
        <v>66619714.160000004</v>
      </c>
      <c r="DD4" s="7">
        <f>'травень 2025'!AS64</f>
        <v>66778894.730000004</v>
      </c>
      <c r="DE4" s="7">
        <f>'травень 2025'!AU64</f>
        <v>66829963.480000004</v>
      </c>
      <c r="DF4" s="7">
        <f>'червень 2025'!C71</f>
        <v>66834402.950000003</v>
      </c>
      <c r="DG4" s="7">
        <f>'червень 2025'!E71</f>
        <v>66919999.950000003</v>
      </c>
      <c r="DH4" s="7">
        <f>'червень 2025'!G71</f>
        <v>66628493.519999996</v>
      </c>
      <c r="DI4" s="7">
        <f>'червень 2025'!I71</f>
        <v>66758750.950000003</v>
      </c>
      <c r="DJ4" s="7">
        <f>'червень 2025'!K71</f>
        <v>66998378.109999999</v>
      </c>
      <c r="DK4" s="7">
        <f>'червень 2025'!M71</f>
        <v>66783040.82</v>
      </c>
      <c r="DL4" s="7">
        <f>'червень 2025'!O71</f>
        <v>66681761.469999999</v>
      </c>
      <c r="DM4" s="7">
        <f>'червень 2025'!Q71</f>
        <v>66873201.480000004</v>
      </c>
      <c r="DN4" s="7">
        <f>'червень 2025'!S71</f>
        <v>66899869.309999995</v>
      </c>
      <c r="DO4" s="7">
        <f>'червень 2025'!U71</f>
        <v>66766646.479999997</v>
      </c>
      <c r="DP4" s="7">
        <f>'червень 2025'!W71</f>
        <v>66846292.539999999</v>
      </c>
      <c r="DQ4" s="7">
        <f>'червень 2025'!Y71</f>
        <v>67053684.730000004</v>
      </c>
      <c r="DR4" s="7">
        <f>'червень 2025'!AA71</f>
        <v>67081365.329999998</v>
      </c>
      <c r="DS4" s="7">
        <f>'червень 2025'!AC71</f>
        <v>66704598.299999997</v>
      </c>
      <c r="DT4" s="7">
        <f>'червень 2025'!AE71</f>
        <v>66777167.760000005</v>
      </c>
      <c r="DU4" s="7">
        <f>'червень 2025'!AG71</f>
        <v>66950666.170000002</v>
      </c>
      <c r="DV4" s="7">
        <f>'червень 2025'!AI71</f>
        <v>66942637.379999995</v>
      </c>
      <c r="DW4" s="7">
        <f>'червень 2025'!AK71</f>
        <v>66490907.890000001</v>
      </c>
      <c r="DX4" s="7">
        <f>'червень 2025'!AM71</f>
        <v>66436996.450000003</v>
      </c>
      <c r="DY4" s="7">
        <f>'червень 2025'!AO71</f>
        <v>66545275.019999996</v>
      </c>
      <c r="DZ4" s="7">
        <f>'червень 2025'!AQ71</f>
        <v>66678132.859999999</v>
      </c>
      <c r="EA4" s="576">
        <f>липень2025!C71</f>
        <v>66762667.43</v>
      </c>
      <c r="EB4" s="7">
        <f>липень2025!E71</f>
        <v>66789577.769999996</v>
      </c>
      <c r="EC4" s="7">
        <f>липень2025!G71</f>
        <v>66693103.219999999</v>
      </c>
      <c r="ED4" s="7">
        <f>липень2025!I71</f>
        <v>66848650.460000001</v>
      </c>
      <c r="EE4" s="7">
        <f>липень2025!K71</f>
        <v>66931988.090000004</v>
      </c>
      <c r="EF4" s="7">
        <f>липень2025!M71</f>
        <v>66773642.560000002</v>
      </c>
      <c r="EG4" s="7">
        <f>липень2025!O71</f>
        <v>65953877.329999998</v>
      </c>
      <c r="EH4" s="576">
        <f>липень2025!Q71</f>
        <v>66069125.359999999</v>
      </c>
      <c r="EI4" s="576">
        <f>липень2025!S71</f>
        <v>66013972.060000002</v>
      </c>
      <c r="EJ4" s="576">
        <f>липень2025!U71</f>
        <v>66186255.390000001</v>
      </c>
      <c r="EK4" s="576">
        <f>липень2025!W71</f>
        <v>66123937.719999999</v>
      </c>
      <c r="EL4" s="576">
        <f>липень2025!Y71</f>
        <v>66150561.670000002</v>
      </c>
      <c r="EM4" s="576">
        <f>липень2025!AA71</f>
        <v>66099401.049999997</v>
      </c>
      <c r="EN4" s="576">
        <f>липень2025!AC71</f>
        <v>66200587.640000001</v>
      </c>
      <c r="EO4" s="576">
        <f>липень2025!AE71</f>
        <v>66281267.599999994</v>
      </c>
      <c r="EP4" s="576">
        <f>липень2025!AG71</f>
        <v>66302554.829999998</v>
      </c>
      <c r="EQ4" s="576">
        <f>липень2025!AI71</f>
        <v>61576679.180000007</v>
      </c>
      <c r="ER4" s="576">
        <f>липень2025!AK71</f>
        <v>66544597.480000004</v>
      </c>
      <c r="ES4" s="576">
        <f>липень2025!AM71</f>
        <v>66650044.629999995</v>
      </c>
      <c r="ET4" s="576">
        <f>липень2025!AO71</f>
        <v>66796559.460000001</v>
      </c>
      <c r="EU4" s="576">
        <f>липень2025!AQ71</f>
        <v>66690497.030000001</v>
      </c>
      <c r="EV4" s="576">
        <f>липень2025!AS71</f>
        <v>66043803.93</v>
      </c>
      <c r="EW4" s="576">
        <f>липень2025!AU71</f>
        <v>66188009.869999997</v>
      </c>
      <c r="EX4" s="576">
        <f>серпень2025!C73</f>
        <v>66155970.579999998</v>
      </c>
      <c r="EY4" s="576">
        <f>серпень2025!E73</f>
        <v>66336299.900000006</v>
      </c>
      <c r="EZ4" s="576">
        <f>серпень2025!G73</f>
        <v>66417519.649999991</v>
      </c>
      <c r="FA4" s="576">
        <f>серпень2025!I73</f>
        <v>66407136.759999998</v>
      </c>
      <c r="FB4" s="576">
        <f>серпень2025!K73</f>
        <v>66487584.240000002</v>
      </c>
      <c r="FC4" s="576">
        <f>серпень2025!M73</f>
        <v>66354949.509999998</v>
      </c>
      <c r="FD4" s="576">
        <f>серпень2025!O73</f>
        <v>66472238.659999996</v>
      </c>
      <c r="FE4" s="576">
        <f>серпень2025!Q73</f>
        <v>66446248.589999996</v>
      </c>
      <c r="FF4" s="576">
        <f>серпень2025!S73</f>
        <v>66695748.939999998</v>
      </c>
      <c r="FG4" s="576">
        <f>серпень2025!U73</f>
        <v>66723149.290000007</v>
      </c>
      <c r="FH4" s="576">
        <f>серпень2025!W73</f>
        <v>66750598.369999997</v>
      </c>
      <c r="FI4" s="576">
        <f>серпень2025!Y73</f>
        <v>66697314.890000001</v>
      </c>
      <c r="FJ4" s="576">
        <f>серпень2025!AA73</f>
        <v>66643692.260000005</v>
      </c>
      <c r="FK4" s="576">
        <f>серпень2025!AC73</f>
        <v>66598207.93</v>
      </c>
      <c r="FL4" s="576">
        <f>серпень2025!AE73</f>
        <v>66624101.030000001</v>
      </c>
      <c r="FM4" s="576">
        <f>серпень2025!AG73</f>
        <v>66658498.519999996</v>
      </c>
      <c r="FN4" s="576">
        <f>серпень2025!AI73</f>
        <v>66710944.68</v>
      </c>
      <c r="FO4" s="576">
        <f>серпень2025!AK73</f>
        <v>66811239.350000009</v>
      </c>
      <c r="FP4" s="576">
        <f>серпень2025!AM73</f>
        <v>62618911.620000005</v>
      </c>
      <c r="FQ4" s="576">
        <f>серпень2025!AO73</f>
        <v>62472065.600000009</v>
      </c>
      <c r="FR4" s="576">
        <f>серпень2025!AQ73</f>
        <v>62702202.5</v>
      </c>
      <c r="FS4" s="576">
        <f>серпень2025!AS73</f>
        <v>62751908.290000007</v>
      </c>
      <c r="FT4" s="576">
        <f>вересень2025!C73</f>
        <v>62748048.340000004</v>
      </c>
      <c r="FU4" s="576">
        <f>вересень2025!E73</f>
        <v>62627236.890000001</v>
      </c>
      <c r="FV4" s="576">
        <f>вересень2025!G73</f>
        <v>62773281.179999992</v>
      </c>
      <c r="FW4" s="576">
        <f>вересень2025!I73</f>
        <v>62768404.969999999</v>
      </c>
      <c r="FX4" s="576">
        <f>вересень2025!K73</f>
        <v>62794195.150000006</v>
      </c>
      <c r="FY4" s="576">
        <f>вересень2025!M73</f>
        <v>62862410.219999999</v>
      </c>
      <c r="FZ4" s="576">
        <f>вересень2025!O73</f>
        <v>62923017.670000002</v>
      </c>
      <c r="GA4" s="576">
        <f>вересень2025!Q73</f>
        <v>62919336.619999997</v>
      </c>
      <c r="GB4" s="576">
        <f>вересень2025!S73</f>
        <v>62958998.230000004</v>
      </c>
      <c r="GC4" s="576">
        <f>вересень2025!U73</f>
        <v>62970275.120000005</v>
      </c>
      <c r="GD4" s="576">
        <f>вересень2025!W73</f>
        <v>62982193.470600002</v>
      </c>
      <c r="GE4" s="576">
        <f>вересень2025!Y73</f>
        <v>63085322.239999995</v>
      </c>
      <c r="GF4" s="576">
        <f>вересень2025!AA73</f>
        <v>62801440.359999999</v>
      </c>
      <c r="GG4" s="576">
        <f>вересень2025!AC73</f>
        <v>62873754.719999999</v>
      </c>
      <c r="GH4" s="576">
        <f>вересень2025!AE73</f>
        <v>60290372.890000001</v>
      </c>
      <c r="GI4" s="576">
        <f>вересень2025!AG73</f>
        <v>60451527.170000002</v>
      </c>
      <c r="GJ4" s="576">
        <f>вересень2025!AI73</f>
        <v>60308632.5</v>
      </c>
      <c r="GK4" s="576">
        <f>вересень2025!AK73</f>
        <v>60253351.399999999</v>
      </c>
      <c r="GL4" s="576">
        <f>вересень2025!AM73</f>
        <v>62932982.040000007</v>
      </c>
      <c r="GM4" s="576">
        <f>вересень2025!AO73</f>
        <v>62958331.25</v>
      </c>
      <c r="GN4" s="576">
        <f>вересень2025!AQ73</f>
        <v>63035974.07</v>
      </c>
      <c r="GO4" s="576">
        <f>вересень2025!AS73</f>
        <v>63132136.169999994</v>
      </c>
      <c r="GP4" s="576">
        <f>'жовтень 2025'!C70</f>
        <v>63106292.019999996</v>
      </c>
      <c r="GQ4" s="576">
        <f>'жовтень 2025'!E70</f>
        <v>63159575.369999997</v>
      </c>
      <c r="GR4" s="576">
        <f>'жовтень 2025'!G70</f>
        <v>63207473.340000004</v>
      </c>
      <c r="GS4" s="576">
        <f>'жовтень 2025'!I70</f>
        <v>63151977.060000002</v>
      </c>
      <c r="GT4" s="576">
        <f>'жовтень 2025'!K70</f>
        <v>63224127.450000003</v>
      </c>
      <c r="GU4" s="576">
        <f>'жовтень 2025'!M70</f>
        <v>63066534.539999999</v>
      </c>
      <c r="GV4" s="576">
        <f>'жовтень 2025'!O70</f>
        <v>63124482.979999997</v>
      </c>
      <c r="GW4" s="576">
        <f>'жовтень 2025'!Q70</f>
        <v>63172069.280000001</v>
      </c>
      <c r="GX4" s="576">
        <f>'жовтень 2025'!S70</f>
        <v>63249384.229999997</v>
      </c>
      <c r="GY4" s="576">
        <f>'жовтень 2025'!U70</f>
        <v>63122742.649999991</v>
      </c>
      <c r="GZ4" s="576">
        <f>'жовтень 2025'!W70</f>
        <v>53083761.409999996</v>
      </c>
      <c r="HA4" s="576">
        <f>'жовтень 2025'!Y70</f>
        <v>63195751.200000003</v>
      </c>
      <c r="HB4" s="576">
        <f>'жовтень 2025'!AA70</f>
        <v>63287914.799999997</v>
      </c>
      <c r="HC4" s="576">
        <f>'жовтень 2025'!AC70</f>
        <v>63401573.619999997</v>
      </c>
      <c r="HD4" s="576">
        <f>'жовтень 2025'!AE70</f>
        <v>63417758.18</v>
      </c>
      <c r="HE4" s="576">
        <f>'жовтень 2025'!AG70</f>
        <v>63476176.969999999</v>
      </c>
      <c r="HF4" s="576">
        <f>'жовтень 2025'!AI70</f>
        <v>63602504.199999996</v>
      </c>
      <c r="HG4" s="576">
        <f>'жовтень 2025'!AK70</f>
        <v>63554541.350000001</v>
      </c>
      <c r="HH4" s="576">
        <f>'жовтень 2025'!AM70</f>
        <v>63571497.210000001</v>
      </c>
      <c r="HI4" s="576">
        <f>'жовтень 2025'!AO70</f>
        <v>63429025.399999991</v>
      </c>
      <c r="HJ4" s="576">
        <f>'жовтень 2025'!AQ70</f>
        <v>63579287.060000002</v>
      </c>
      <c r="HK4" s="576">
        <f>'жовтень 2025'!AS70</f>
        <v>63611288.470000006</v>
      </c>
    </row>
    <row r="5" spans="1:219" ht="29.25">
      <c r="A5" s="6" t="s">
        <v>2</v>
      </c>
      <c r="B5" s="351">
        <f>'січень 2025'!C68</f>
        <v>24845846.870000001</v>
      </c>
      <c r="C5" s="351">
        <f>'січень 2025'!E68</f>
        <v>24303542.439999998</v>
      </c>
      <c r="D5" s="351">
        <f>'січень 2025'!G68</f>
        <v>24316180.84</v>
      </c>
      <c r="E5" s="351">
        <f>'січень 2025'!I68</f>
        <v>24317502.25</v>
      </c>
      <c r="F5" s="351">
        <f>'січень 2025'!K68</f>
        <v>24323815.25</v>
      </c>
      <c r="G5" s="351">
        <f>'січень 2025'!M68</f>
        <v>24506027.25</v>
      </c>
      <c r="H5" s="351">
        <f>'січень 2025'!O68</f>
        <v>24597584.329999998</v>
      </c>
      <c r="I5" s="351">
        <f>'січень 2025'!Q68</f>
        <v>24603235.280000001</v>
      </c>
      <c r="J5" s="351">
        <f>'січень 2025'!S68</f>
        <v>24586848.109999999</v>
      </c>
      <c r="K5" s="351">
        <f>'січень 2025'!U68</f>
        <v>32730680.629999999</v>
      </c>
      <c r="L5" s="351">
        <f>'січень 2025'!W68</f>
        <v>24417352.629999999</v>
      </c>
      <c r="M5" s="351">
        <f>'січень 2025'!Y68</f>
        <v>24417352.629999999</v>
      </c>
      <c r="N5" s="351">
        <f>'січень 2025'!AA68</f>
        <v>24426273.629999999</v>
      </c>
      <c r="O5" s="351">
        <f>'січень 2025'!AC68</f>
        <v>24415062.629999999</v>
      </c>
      <c r="P5" s="351">
        <f>'січень 2025'!AE68</f>
        <v>24795726.490000002</v>
      </c>
      <c r="Q5" s="351">
        <f>'січень 2025'!AG68</f>
        <v>24795726.490000002</v>
      </c>
      <c r="R5" s="351">
        <f>'січень 2025'!AI68</f>
        <v>24795726.490000002</v>
      </c>
      <c r="S5" s="351">
        <f>'січень 2025'!AK68</f>
        <v>24822127.550000001</v>
      </c>
      <c r="T5" s="351">
        <f>'січень 2025'!AM68</f>
        <v>24822127.550000001</v>
      </c>
      <c r="U5" s="351">
        <f>'січень 2025'!AO68</f>
        <v>25508527.550000001</v>
      </c>
      <c r="V5" s="351">
        <f>'січень 2025'!AQ68</f>
        <v>25527257.800000001</v>
      </c>
      <c r="W5" s="351">
        <f>'січень 2025'!AS68</f>
        <v>25528398.800000001</v>
      </c>
      <c r="X5" s="351">
        <f>лютий2025!C69</f>
        <v>25634141.629999999</v>
      </c>
      <c r="Y5" s="351">
        <f>лютий2025!E69</f>
        <v>25634141.629999999</v>
      </c>
      <c r="Z5" s="351">
        <f>лютий2025!G69</f>
        <v>25082272.219999999</v>
      </c>
      <c r="AA5" s="351">
        <f>лютий2025!I69</f>
        <v>25071265.59</v>
      </c>
      <c r="AB5" s="351">
        <f>лютий2025!K69</f>
        <v>25099482.600000001</v>
      </c>
      <c r="AC5" s="351">
        <f>лютий2025!M69</f>
        <v>25165007.259999998</v>
      </c>
      <c r="AD5" s="351">
        <f>лютий2025!O69</f>
        <v>25167705.259999998</v>
      </c>
      <c r="AE5" s="351">
        <f>лютий2025!Q69</f>
        <v>24998047.73</v>
      </c>
      <c r="AF5" s="351">
        <f>лютий2025!S69</f>
        <v>24998047.73</v>
      </c>
      <c r="AG5" s="351">
        <f>лютий2025!U69</f>
        <v>25012245.189999998</v>
      </c>
      <c r="AH5" s="351">
        <f>лютий2025!W69</f>
        <v>25012245.189999998</v>
      </c>
      <c r="AI5" s="351">
        <f>лютий2025!Y69</f>
        <v>24995340.59</v>
      </c>
      <c r="AJ5" s="351">
        <f>лютий2025!AA69</f>
        <v>25128563.5</v>
      </c>
      <c r="AK5" s="351">
        <f>лютий2025!AC69</f>
        <v>25128563.5</v>
      </c>
      <c r="AL5" s="351">
        <f>лютий2025!AE69</f>
        <v>25278143.5</v>
      </c>
      <c r="AM5" s="351">
        <f>лютий2025!AG69</f>
        <v>25278143.5</v>
      </c>
      <c r="AN5" s="351">
        <f>лютий2025!AI69</f>
        <v>25279143.5</v>
      </c>
      <c r="AO5" s="351">
        <f>лютий2025!AK69</f>
        <v>31971628.5</v>
      </c>
      <c r="AP5" s="351">
        <f>лютий2025!AM69</f>
        <v>25308178.810000002</v>
      </c>
      <c r="AQ5" s="351">
        <f>лютий2025!AO69</f>
        <v>25308178.810000002</v>
      </c>
      <c r="AR5" s="351">
        <f>березень2025!G67</f>
        <v>25404668.949999999</v>
      </c>
      <c r="AS5" s="351">
        <f>березень2025!I67</f>
        <v>25501968.949999999</v>
      </c>
      <c r="AT5" s="351">
        <f>березень2025!K67</f>
        <v>24938797.41</v>
      </c>
      <c r="AU5" s="351">
        <f>березень2025!M67</f>
        <v>24969762.240000002</v>
      </c>
      <c r="AV5" s="351">
        <f>березень2025!O67</f>
        <v>25130604.140000001</v>
      </c>
      <c r="AW5" s="351">
        <f>березень2025!Q67</f>
        <v>25189787.699999999</v>
      </c>
      <c r="AX5" s="351">
        <f>березень2025!S67</f>
        <v>25188949.899999999</v>
      </c>
      <c r="AY5" s="351">
        <f>березень2025!U67</f>
        <v>25173131.07</v>
      </c>
      <c r="AZ5" s="351">
        <f>березень2025!W67</f>
        <v>25183953.25</v>
      </c>
      <c r="BA5" s="351">
        <f>березень2025!Y67</f>
        <v>25183953.25</v>
      </c>
      <c r="BB5" s="351">
        <f>березень2025!AA67</f>
        <v>25190408.84</v>
      </c>
      <c r="BC5" s="351">
        <f>березень2025!AC67</f>
        <v>25185346.84</v>
      </c>
      <c r="BD5" s="351">
        <f>березень2025!AE67</f>
        <v>25185346.84</v>
      </c>
      <c r="BE5" s="351">
        <f>березень2025!AG67</f>
        <v>25185346.84</v>
      </c>
      <c r="BF5" s="351">
        <f>березень2025!AI67</f>
        <v>25185346.84</v>
      </c>
      <c r="BG5" s="351">
        <f>березень2025!AK67</f>
        <v>25185346.84</v>
      </c>
      <c r="BH5" s="351">
        <f>березень2025!AM67</f>
        <v>25185346.84</v>
      </c>
      <c r="BI5" s="351">
        <f>березень2025!AO67</f>
        <v>25203648.240000002</v>
      </c>
      <c r="BJ5" s="351">
        <f>березень2025!AQ67</f>
        <v>25207090.52</v>
      </c>
      <c r="BK5" s="351">
        <f>березень2025!AS67</f>
        <v>25207090.52</v>
      </c>
      <c r="BL5" s="351">
        <f>березень2025!AU67</f>
        <v>25208858.050000001</v>
      </c>
      <c r="BM5" s="351">
        <f>'квітень 2025'!C66</f>
        <v>25324892.25</v>
      </c>
      <c r="BN5" s="351">
        <f>'квітень 2025'!E66</f>
        <v>25330593.370000001</v>
      </c>
      <c r="BO5" s="351">
        <f>'квітень 2025'!G66</f>
        <v>24817240.120000001</v>
      </c>
      <c r="BP5" s="351">
        <f>'квітень 2025'!I66</f>
        <v>24817440.120000001</v>
      </c>
      <c r="BQ5" s="351">
        <f>'квітень 2025'!K66</f>
        <v>24913528.59</v>
      </c>
      <c r="BR5" s="707">
        <f>'квітень 2025'!M66</f>
        <v>24912698.52</v>
      </c>
      <c r="BS5" s="7">
        <f>'квітень 2025'!O66</f>
        <v>24811454.100000001</v>
      </c>
      <c r="BT5" s="7">
        <f>'квітень 2025'!Q66</f>
        <v>24990974.100000001</v>
      </c>
      <c r="BU5" s="7">
        <f>'квітень 2025'!S66</f>
        <v>24992099.100000001</v>
      </c>
      <c r="BV5" s="7">
        <f>'квітень 2025'!U66</f>
        <v>24992099.100000001</v>
      </c>
      <c r="BW5" s="7">
        <f>'квітень 2025'!W66</f>
        <v>24992099.100000001</v>
      </c>
      <c r="BX5" s="7">
        <f>'квітень 2025'!Y66</f>
        <v>25798470.859999999</v>
      </c>
      <c r="BY5" s="7">
        <f>'квітень 2025'!AA66</f>
        <v>25792605.859999999</v>
      </c>
      <c r="BZ5" s="7">
        <f>'квітень 2025'!AC66</f>
        <v>25826361.259999998</v>
      </c>
      <c r="CA5" s="7">
        <f>'квітень 2025'!AE66</f>
        <v>25826361.259999998</v>
      </c>
      <c r="CB5" s="7">
        <f>'квітень 2025'!AG66</f>
        <v>25826361.259999998</v>
      </c>
      <c r="CC5" s="7">
        <f>'квітень 2025'!AI66</f>
        <v>25826361.259999998</v>
      </c>
      <c r="CD5" s="7">
        <f>'квітень 2025'!AK66</f>
        <v>25800836.390000001</v>
      </c>
      <c r="CE5" s="7">
        <f>'квітень 2025'!AM66</f>
        <v>25800836.390000001</v>
      </c>
      <c r="CF5" s="7">
        <f>'квітень 2025'!AO66</f>
        <v>25856551.579999998</v>
      </c>
      <c r="CG5" s="7">
        <f>'квітень 2025'!AQ66</f>
        <v>25856551.579999998</v>
      </c>
      <c r="CH5" s="7">
        <f>'квітень 2025'!AS66</f>
        <v>25819051.579999998</v>
      </c>
      <c r="CI5" s="7">
        <f>'травень 2025'!C65</f>
        <v>25948994.759999998</v>
      </c>
      <c r="CJ5" s="7">
        <f>'травень 2025'!E65</f>
        <v>25948994.759999998</v>
      </c>
      <c r="CK5" s="7">
        <f>'травень 2025'!G65</f>
        <v>25912748.310000002</v>
      </c>
      <c r="CL5" s="7">
        <f>'травень 2025'!I65</f>
        <v>25384973.02</v>
      </c>
      <c r="CM5" s="7">
        <f>'травень 2025'!K65</f>
        <v>25404674.780000001</v>
      </c>
      <c r="CN5" s="7">
        <f>'травень 2025'!M65</f>
        <v>25414215.18</v>
      </c>
      <c r="CO5" s="7">
        <f>'травень 2025'!O65</f>
        <v>25414215.18</v>
      </c>
      <c r="CP5" s="7">
        <f>'травень 2025'!Q65</f>
        <v>25418010.18</v>
      </c>
      <c r="CQ5" s="7">
        <f>'травень 2025'!S65</f>
        <v>25418010.18</v>
      </c>
      <c r="CR5" s="7">
        <f>'травень 2025'!U65</f>
        <v>25278806.390000001</v>
      </c>
      <c r="CS5" s="7">
        <f>'травень 2025'!W65</f>
        <v>25278806.390000001</v>
      </c>
      <c r="CT5" s="7">
        <f>'травень 2025'!Y65</f>
        <v>25278806.390000001</v>
      </c>
      <c r="CU5" s="7">
        <f>'травень 2025'!AA65</f>
        <v>25306312.18</v>
      </c>
      <c r="CV5" s="7">
        <f>'травень 2025'!AC65</f>
        <v>25306312.18</v>
      </c>
      <c r="CW5" s="7">
        <f>'травень 2025'!AE65</f>
        <v>25306312.18</v>
      </c>
      <c r="CX5" s="7">
        <f>'травень 2025'!AG65</f>
        <v>25306312.18</v>
      </c>
      <c r="CY5" s="7">
        <f>'травень 2025'!AI65</f>
        <v>25429732.18</v>
      </c>
      <c r="CZ5" s="7">
        <f>'травень 2025'!AK65</f>
        <v>25429732.18</v>
      </c>
      <c r="DA5" s="7">
        <f>'травень 2025'!AM65</f>
        <v>25462568.810000002</v>
      </c>
      <c r="DB5" s="7">
        <f>'травень 2025'!AO65</f>
        <v>25893800.079999998</v>
      </c>
      <c r="DC5" s="7">
        <f>'травень 2025'!AQ65</f>
        <v>25788247.629999999</v>
      </c>
      <c r="DD5" s="7">
        <f>'травень 2025'!AS65</f>
        <v>25885410.060000002</v>
      </c>
      <c r="DE5" s="7">
        <f>'травень 2025'!AU65</f>
        <v>25885410.060000002</v>
      </c>
      <c r="DF5" s="7">
        <f>'червень 2025'!C72</f>
        <v>26021457.789999999</v>
      </c>
      <c r="DG5" s="7">
        <f>'червень 2025'!E72</f>
        <v>25978502.899999999</v>
      </c>
      <c r="DH5" s="7">
        <f>'червень 2025'!G72</f>
        <v>25460261.379999999</v>
      </c>
      <c r="DI5" s="7">
        <f>'червень 2025'!I72</f>
        <v>25479985.550000001</v>
      </c>
      <c r="DJ5" s="7">
        <f>'червень 2025'!K72</f>
        <v>25497286.439999998</v>
      </c>
      <c r="DK5" s="7">
        <f>'червень 2025'!M72</f>
        <v>25522984.68</v>
      </c>
      <c r="DL5" s="7">
        <f>'червень 2025'!O72</f>
        <v>25525663.68</v>
      </c>
      <c r="DM5" s="7">
        <f>'червень 2025'!Q72</f>
        <v>25521054.16</v>
      </c>
      <c r="DN5" s="7">
        <f>'червень 2025'!S72</f>
        <v>25436894.699999999</v>
      </c>
      <c r="DO5" s="7">
        <f>'червень 2025'!U72</f>
        <v>25436894.699999999</v>
      </c>
      <c r="DP5" s="7">
        <f>'червень 2025'!W72</f>
        <v>25438565.699999999</v>
      </c>
      <c r="DQ5" s="7">
        <f>'червень 2025'!Y72</f>
        <v>25438565.699999999</v>
      </c>
      <c r="DR5" s="7">
        <f>'червень 2025'!AA72</f>
        <v>25438565.699999999</v>
      </c>
      <c r="DS5" s="7">
        <f>'червень 2025'!AC72</f>
        <v>25425634.829999998</v>
      </c>
      <c r="DT5" s="7">
        <f>'червень 2025'!AE72</f>
        <v>25425634.829999998</v>
      </c>
      <c r="DU5" s="7">
        <f>'червень 2025'!AG72</f>
        <v>25570599.469999999</v>
      </c>
      <c r="DV5" s="7">
        <f>'червень 2025'!AI72</f>
        <v>25565264.469999999</v>
      </c>
      <c r="DW5" s="7">
        <f>'червень 2025'!AK72</f>
        <v>26052239.469999999</v>
      </c>
      <c r="DX5" s="7">
        <f>'червень 2025'!AM72</f>
        <v>25913135.25</v>
      </c>
      <c r="DY5" s="7">
        <f>'червень 2025'!AO72</f>
        <v>25931189.219999999</v>
      </c>
      <c r="DZ5" s="7">
        <f>'червень 2025'!AQ72</f>
        <v>25931189.219999999</v>
      </c>
      <c r="EA5" s="576">
        <f>липень2025!C72</f>
        <v>26021761.259999998</v>
      </c>
      <c r="EB5" s="7">
        <f>липень2025!E72</f>
        <v>25973435.91</v>
      </c>
      <c r="EC5" s="7">
        <f>липень2025!G72</f>
        <v>25402925.620000001</v>
      </c>
      <c r="ED5" s="7">
        <f>липень2025!I72</f>
        <v>25405431.620000001</v>
      </c>
      <c r="EE5" s="7">
        <f>липень2025!K72</f>
        <v>25414527.23</v>
      </c>
      <c r="EF5" s="7">
        <f>липень2025!M72</f>
        <v>25445950.210000001</v>
      </c>
      <c r="EG5" s="7">
        <f>липень2025!O72</f>
        <v>26324683.649999999</v>
      </c>
      <c r="EH5" s="576">
        <f>липень2025!Q72</f>
        <v>26325790.649999999</v>
      </c>
      <c r="EI5" s="576">
        <f>липень2025!S72</f>
        <v>26332103.649999999</v>
      </c>
      <c r="EJ5" s="576">
        <f>липень2025!U72</f>
        <v>26332103.649999999</v>
      </c>
      <c r="EK5" s="576">
        <f>липень2025!W72</f>
        <v>26348213.240000002</v>
      </c>
      <c r="EL5" s="576">
        <f>липень2025!Y72</f>
        <v>26220321.77</v>
      </c>
      <c r="EM5" s="576">
        <f>липень2025!AA72</f>
        <v>26320007.43</v>
      </c>
      <c r="EN5" s="576">
        <f>липень2025!AC72</f>
        <v>26320007.43</v>
      </c>
      <c r="EO5" s="576">
        <f>липень2025!AE72</f>
        <v>26320007.43</v>
      </c>
      <c r="EP5" s="576">
        <f>липень2025!AG72</f>
        <v>26377772.59</v>
      </c>
      <c r="EQ5" s="576">
        <f>липень2025!AI72</f>
        <v>31063634.59</v>
      </c>
      <c r="ER5" s="576">
        <f>липень2025!AK72</f>
        <v>26063762.890000001</v>
      </c>
      <c r="ES5" s="576">
        <f>липень2025!AM72</f>
        <v>26063762.890000001</v>
      </c>
      <c r="ET5" s="576">
        <f>липень2025!AO72</f>
        <v>26076623.800000001</v>
      </c>
      <c r="EU5" s="576">
        <f>липень2025!AQ72</f>
        <v>26078463.800000001</v>
      </c>
      <c r="EV5" s="576">
        <f>липень2025!AS72</f>
        <v>26917064.460000001</v>
      </c>
      <c r="EW5" s="576">
        <f>липень2025!AU72</f>
        <v>26901896.420000002</v>
      </c>
      <c r="EX5" s="576">
        <f>серпень2025!C74</f>
        <v>27021982.879999999</v>
      </c>
      <c r="EY5" s="576">
        <f>серпень2025!E74</f>
        <v>27021982.879999999</v>
      </c>
      <c r="EZ5" s="576">
        <f>серпень2025!G74</f>
        <v>27021982.879999999</v>
      </c>
      <c r="FA5" s="576">
        <f>серпень2025!I74</f>
        <v>26460964.460000001</v>
      </c>
      <c r="FB5" s="576">
        <f>серпень2025!K74</f>
        <v>26474434.199999999</v>
      </c>
      <c r="FC5" s="576">
        <f>серпень2025!M74</f>
        <v>26498445.219999999</v>
      </c>
      <c r="FD5" s="576">
        <f>серпень2025!O74</f>
        <v>26655689.619999997</v>
      </c>
      <c r="FE5" s="576">
        <f>серпень2025!Q74</f>
        <v>26655689.620000001</v>
      </c>
      <c r="FF5" s="576">
        <f>серпень2025!S74</f>
        <v>26655689.620000001</v>
      </c>
      <c r="FG5" s="576">
        <f>серпень2025!U74</f>
        <v>26646785.530000001</v>
      </c>
      <c r="FH5" s="576">
        <f>серпень2025!W74</f>
        <v>26646785.530000001</v>
      </c>
      <c r="FI5" s="576">
        <f>серпень2025!Y74</f>
        <v>26651900.990000002</v>
      </c>
      <c r="FJ5" s="576">
        <f>серпень2025!AA74</f>
        <v>26722552.920000002</v>
      </c>
      <c r="FK5" s="576">
        <f>серпень2025!AC74</f>
        <v>26744654.920000002</v>
      </c>
      <c r="FL5" s="576">
        <f>серпень2025!AE74</f>
        <v>26752434.920000002</v>
      </c>
      <c r="FM5" s="576">
        <f>серпень2025!AG74</f>
        <v>26875854.920000002</v>
      </c>
      <c r="FN5" s="576">
        <f>серпень2025!AI74</f>
        <v>26875854.920000002</v>
      </c>
      <c r="FO5" s="576">
        <f>серпень2025!AK74</f>
        <v>26875854.920000002</v>
      </c>
      <c r="FP5" s="576">
        <f>серпень2025!AM74</f>
        <v>27316727.25</v>
      </c>
      <c r="FQ5" s="576">
        <f>серпень2025!AO74</f>
        <v>27316727.25</v>
      </c>
      <c r="FR5" s="576">
        <f>серпень2025!AQ74</f>
        <v>27319867.629999999</v>
      </c>
      <c r="FS5" s="576">
        <f>серпень2025!AS74</f>
        <v>27319867.629999999</v>
      </c>
      <c r="FT5" s="576">
        <f>вересень2025!C74</f>
        <v>27545045.259999998</v>
      </c>
      <c r="FU5" s="576">
        <f>вересень2025!E74</f>
        <v>27489800.18</v>
      </c>
      <c r="FV5" s="576">
        <f>вересень2025!G74</f>
        <v>26984258.41</v>
      </c>
      <c r="FW5" s="576">
        <f>вересень2025!I74</f>
        <v>26986748.41</v>
      </c>
      <c r="FX5" s="576">
        <f>вересень2025!K74</f>
        <v>26986848.41</v>
      </c>
      <c r="FY5" s="576">
        <f>вересень2025!M74</f>
        <v>27002945.469999999</v>
      </c>
      <c r="FZ5" s="576">
        <f>вересень2025!O74</f>
        <v>27213250.960000001</v>
      </c>
      <c r="GA5" s="576">
        <f>вересень2025!Q74</f>
        <v>27213840.009999998</v>
      </c>
      <c r="GB5" s="576">
        <f>вересень2025!S74</f>
        <v>27218825.920000002</v>
      </c>
      <c r="GC5" s="576">
        <f>вересень2025!U74</f>
        <v>27218825.920000002</v>
      </c>
      <c r="GD5" s="576">
        <f>вересень2025!W74</f>
        <v>27226271.550000001</v>
      </c>
      <c r="GE5" s="576">
        <f>вересень2025!Y74</f>
        <v>27226271.550000001</v>
      </c>
      <c r="GF5" s="576">
        <f>вересень2025!AA74</f>
        <v>27591938.949999999</v>
      </c>
      <c r="GG5" s="576">
        <f>вересень2025!AC74</f>
        <v>27599218.949999999</v>
      </c>
      <c r="GH5" s="576">
        <f>вересень2025!AE74</f>
        <v>30094676.670000002</v>
      </c>
      <c r="GI5" s="576">
        <f>вересень2025!AG74</f>
        <v>30094676.670000002</v>
      </c>
      <c r="GJ5" s="576">
        <f>вересень2025!AI74</f>
        <v>30094676.670000002</v>
      </c>
      <c r="GK5" s="576">
        <f>вересень2025!AK74</f>
        <v>30083692.109999999</v>
      </c>
      <c r="GL5" s="576">
        <f>вересень2025!AM74</f>
        <v>27497192.469999999</v>
      </c>
      <c r="GM5" s="576">
        <f>вересень2025!AO74</f>
        <v>27577011.240000002</v>
      </c>
      <c r="GN5" s="576">
        <f>вересень2025!AQ74</f>
        <v>27587627.68</v>
      </c>
      <c r="GO5" s="576">
        <f>вересень2025!AS74</f>
        <v>27589046.91</v>
      </c>
      <c r="GP5" s="576">
        <f>'жовтень 2025'!C71</f>
        <v>27717108.920000002</v>
      </c>
      <c r="GQ5" s="576">
        <f>'жовтень 2025'!E71</f>
        <v>27174193.77</v>
      </c>
      <c r="GR5" s="576">
        <f>'жовтень 2025'!G71</f>
        <v>27174193.77</v>
      </c>
      <c r="GS5" s="576">
        <f>'жовтень 2025'!I71</f>
        <v>27176772.77</v>
      </c>
      <c r="GT5" s="576">
        <f>'жовтень 2025'!K71</f>
        <v>27196516.870000001</v>
      </c>
      <c r="GU5" s="576">
        <f>'жовтень 2025'!M71</f>
        <v>27358741.870000001</v>
      </c>
      <c r="GV5" s="576">
        <f>'жовтень 2025'!O71</f>
        <v>27365054.870000001</v>
      </c>
      <c r="GW5" s="576">
        <f>'жовтень 2025'!Q71</f>
        <v>27424294.34</v>
      </c>
      <c r="GX5" s="576">
        <f>'жовтень 2025'!S71</f>
        <v>27424294.34</v>
      </c>
      <c r="GY5" s="576">
        <f>'жовтень 2025'!U71</f>
        <v>27416161.939999998</v>
      </c>
      <c r="GZ5" s="576">
        <f>'жовтень 2025'!W71</f>
        <v>37555404.870000005</v>
      </c>
      <c r="HA5" s="576">
        <f>'жовтень 2025'!Y71</f>
        <v>27458546.870000001</v>
      </c>
      <c r="HB5" s="576">
        <f>'жовтень 2025'!AA71</f>
        <v>27458546.870000001</v>
      </c>
      <c r="HC5" s="576">
        <f>'жовтень 2025'!AC71</f>
        <v>27458546.870000001</v>
      </c>
      <c r="HD5" s="576">
        <f>'жовтень 2025'!AE71</f>
        <v>27458046.870000001</v>
      </c>
      <c r="HE5" s="576">
        <f>'жовтень 2025'!AG71</f>
        <v>27385543.780000001</v>
      </c>
      <c r="HF5" s="576">
        <f>'жовтень 2025'!AI71</f>
        <v>27462344.68</v>
      </c>
      <c r="HG5" s="576">
        <f>'жовтень 2025'!AK71</f>
        <v>27460475.16</v>
      </c>
      <c r="HH5" s="576">
        <f>'жовтень 2025'!AM71</f>
        <v>27470749.129999999</v>
      </c>
      <c r="HI5" s="576">
        <f>'жовтень 2025'!AO71</f>
        <v>27470749.129999999</v>
      </c>
      <c r="HJ5" s="576">
        <f>'жовтень 2025'!AQ71</f>
        <v>27470749.129999999</v>
      </c>
      <c r="HK5" s="576">
        <f>'жовтень 2025'!AS71</f>
        <v>27488749.129999999</v>
      </c>
    </row>
    <row r="6" spans="1:219">
      <c r="A6" s="6" t="s">
        <v>3</v>
      </c>
      <c r="B6" s="351">
        <f>'січень 2025'!C69</f>
        <v>7005983.7000000002</v>
      </c>
      <c r="C6" s="351">
        <f>'січень 2025'!E69</f>
        <v>7005983.7000000002</v>
      </c>
      <c r="D6" s="351">
        <f>'січень 2025'!G69</f>
        <v>7005983.7000000002</v>
      </c>
      <c r="E6" s="351">
        <f>'січень 2025'!I69</f>
        <v>7005983.7000000002</v>
      </c>
      <c r="F6" s="351">
        <f>'січень 2025'!K69</f>
        <v>7005983.7000000002</v>
      </c>
      <c r="G6" s="351">
        <f>'січень 2025'!M69</f>
        <v>7005983.7000000002</v>
      </c>
      <c r="H6" s="351">
        <f>'січень 2025'!O69</f>
        <v>7005983.7000000002</v>
      </c>
      <c r="I6" s="351">
        <f>'січень 2025'!Q69</f>
        <v>7005983.7000000002</v>
      </c>
      <c r="J6" s="351">
        <f>'січень 2025'!S69</f>
        <v>7005983.7000000002</v>
      </c>
      <c r="K6" s="351">
        <f>'січень 2025'!U69</f>
        <v>7005983.7000000002</v>
      </c>
      <c r="L6" s="351">
        <f>'січень 2025'!W69</f>
        <v>7005983.7000000002</v>
      </c>
      <c r="M6" s="351">
        <f>'січень 2025'!Y69</f>
        <v>7005983.7000000002</v>
      </c>
      <c r="N6" s="351">
        <f>'січень 2025'!AA69</f>
        <v>7005983.7000000002</v>
      </c>
      <c r="O6" s="351">
        <f>'січень 2025'!AC69</f>
        <v>7005983.7000000002</v>
      </c>
      <c r="P6" s="351">
        <f>'січень 2025'!AE69</f>
        <v>7005983.7000000002</v>
      </c>
      <c r="Q6" s="351">
        <f>'січень 2025'!AG69</f>
        <v>7005983.7000000002</v>
      </c>
      <c r="R6" s="351">
        <f>'січень 2025'!AI69</f>
        <v>7005983.7000000002</v>
      </c>
      <c r="S6" s="351">
        <f>'січень 2025'!AK69</f>
        <v>7005983.7000000002</v>
      </c>
      <c r="T6" s="351">
        <f>'січень 2025'!AM69</f>
        <v>7005983.7000000002</v>
      </c>
      <c r="U6" s="351">
        <f>'січень 2025'!AO69</f>
        <v>7005983.7000000002</v>
      </c>
      <c r="V6" s="351">
        <f>'січень 2025'!AQ69</f>
        <v>7005983.7000000002</v>
      </c>
      <c r="W6" s="351">
        <f>'січень 2025'!AS69</f>
        <v>7005983.7000000002</v>
      </c>
      <c r="X6" s="351">
        <f>лютий2025!C70</f>
        <v>7005983.7000000002</v>
      </c>
      <c r="Y6" s="351">
        <f>лютий2025!E70</f>
        <v>7005983.7000000002</v>
      </c>
      <c r="Z6" s="351">
        <f>лютий2025!G70</f>
        <v>7005983.7000000002</v>
      </c>
      <c r="AA6" s="351">
        <f>лютий2025!I70</f>
        <v>7005983.7000000002</v>
      </c>
      <c r="AB6" s="351">
        <f>лютий2025!K70</f>
        <v>7005983.7000000002</v>
      </c>
      <c r="AC6" s="351">
        <f>лютий2025!M70</f>
        <v>7005983.7000000002</v>
      </c>
      <c r="AD6" s="351">
        <f>лютий2025!O70</f>
        <v>7005983.7000000002</v>
      </c>
      <c r="AE6" s="351">
        <f>лютий2025!Q70</f>
        <v>7005983.7000000002</v>
      </c>
      <c r="AF6" s="351">
        <f>лютий2025!S70</f>
        <v>7005983.7000000002</v>
      </c>
      <c r="AG6" s="351">
        <f>лютий2025!U70</f>
        <v>7005983.7000000002</v>
      </c>
      <c r="AH6" s="351">
        <f>лютий2025!W70</f>
        <v>7005983.7000000002</v>
      </c>
      <c r="AI6" s="351">
        <f>лютий2025!Y70</f>
        <v>7005983.7000000002</v>
      </c>
      <c r="AJ6" s="351">
        <f>лютий2025!AA70</f>
        <v>7005983.7000000002</v>
      </c>
      <c r="AK6" s="351">
        <f>лютий2025!AC70</f>
        <v>7005983.7000000002</v>
      </c>
      <c r="AL6" s="351">
        <f>лютий2025!AE70</f>
        <v>7005983.7000000002</v>
      </c>
      <c r="AM6" s="351">
        <f>лютий2025!AG70</f>
        <v>7005983.7000000002</v>
      </c>
      <c r="AN6" s="351">
        <f>лютий2025!AI70</f>
        <v>7005983.7000000002</v>
      </c>
      <c r="AO6" s="351">
        <f>лютий2025!AK70</f>
        <v>7005983.7000000002</v>
      </c>
      <c r="AP6" s="351">
        <f>лютий2025!AM70</f>
        <v>7005983.7000000002</v>
      </c>
      <c r="AQ6" s="351">
        <f>лютий2025!AO70</f>
        <v>7005983.7000000002</v>
      </c>
      <c r="AR6" s="351">
        <f>березень2025!G68</f>
        <v>7005983.7000000002</v>
      </c>
      <c r="AS6" s="351">
        <f>березень2025!I68</f>
        <v>7005983.7000000002</v>
      </c>
      <c r="AT6" s="351">
        <f>березень2025!K68</f>
        <v>7005983.7000000002</v>
      </c>
      <c r="AU6" s="351">
        <f>березень2025!M68</f>
        <v>7005983.7000000002</v>
      </c>
      <c r="AV6" s="351">
        <f>березень2025!O68</f>
        <v>7005983.7000000002</v>
      </c>
      <c r="AW6" s="351">
        <f>березень2025!Q68</f>
        <v>7005983.7000000002</v>
      </c>
      <c r="AX6" s="351">
        <f>березень2025!S68</f>
        <v>7005983.7000000002</v>
      </c>
      <c r="AY6" s="351">
        <f>березень2025!U68</f>
        <v>7005983.7000000002</v>
      </c>
      <c r="AZ6" s="351">
        <f>березень2025!W68</f>
        <v>7005983.7000000002</v>
      </c>
      <c r="BA6" s="351">
        <f>березень2025!Y68</f>
        <v>7005983.7000000002</v>
      </c>
      <c r="BB6" s="351">
        <f>березень2025!AA68</f>
        <v>7005983.7000000002</v>
      </c>
      <c r="BC6" s="351">
        <f>березень2025!AC68</f>
        <v>7005983.7000000002</v>
      </c>
      <c r="BD6" s="351">
        <f>березень2025!AE68</f>
        <v>7005983.7000000002</v>
      </c>
      <c r="BE6" s="351">
        <f>березень2025!AG68</f>
        <v>7005983.7000000002</v>
      </c>
      <c r="BF6" s="351">
        <f>березень2025!AI68</f>
        <v>7005983.7000000002</v>
      </c>
      <c r="BG6" s="351">
        <f>березень2025!AK68</f>
        <v>7005983.7000000002</v>
      </c>
      <c r="BH6" s="351">
        <f>березень2025!AM68</f>
        <v>7005983.7000000002</v>
      </c>
      <c r="BI6" s="351">
        <f>березень2025!AO68</f>
        <v>7005983.7000000002</v>
      </c>
      <c r="BJ6" s="351">
        <f>березень2025!AQ68</f>
        <v>7005983.7000000002</v>
      </c>
      <c r="BK6" s="351">
        <f>березень2025!AS68</f>
        <v>7005983.7000000002</v>
      </c>
      <c r="BL6" s="351">
        <f>березень2025!AU68</f>
        <v>7005983.7000000002</v>
      </c>
      <c r="BM6" s="351">
        <f>'квітень 2025'!C67</f>
        <v>7005983.7000000002</v>
      </c>
      <c r="BN6" s="351">
        <f>'квітень 2025'!E67</f>
        <v>7005983.7000000002</v>
      </c>
      <c r="BO6" s="351">
        <f>'квітень 2025'!G67</f>
        <v>7005983.7000000002</v>
      </c>
      <c r="BP6" s="351">
        <f>'квітень 2025'!I67</f>
        <v>7005983.7000000002</v>
      </c>
      <c r="BQ6" s="351">
        <f>'квітень 2025'!K67</f>
        <v>7005983.7000000002</v>
      </c>
      <c r="BR6" s="707">
        <f>'квітень 2025'!M67</f>
        <v>7005983.7000000002</v>
      </c>
      <c r="BS6" s="7">
        <f>'квітень 2025'!O67</f>
        <v>7005983.7000000002</v>
      </c>
      <c r="BT6" s="7">
        <f>'квітень 2025'!Q67</f>
        <v>7005983.7000000002</v>
      </c>
      <c r="BU6" s="7">
        <f>'квітень 2025'!S67</f>
        <v>7005983.7000000002</v>
      </c>
      <c r="BV6" s="7">
        <f>'квітень 2025'!U67</f>
        <v>7005983.7000000002</v>
      </c>
      <c r="BW6" s="7">
        <f>'квітень 2025'!W67</f>
        <v>7005983.7000000002</v>
      </c>
      <c r="BX6" s="7">
        <f>'квітень 2025'!Y67</f>
        <v>7005983.7000000002</v>
      </c>
      <c r="BY6" s="7">
        <f>'квітень 2025'!AA67</f>
        <v>7005983.7000000002</v>
      </c>
      <c r="BZ6" s="7">
        <f>'квітень 2025'!AC67</f>
        <v>7005983.7000000002</v>
      </c>
      <c r="CA6" s="7">
        <f>'квітень 2025'!AE67</f>
        <v>7005983.7000000002</v>
      </c>
      <c r="CB6" s="7">
        <f>'квітень 2025'!AG67</f>
        <v>7005983.7000000002</v>
      </c>
      <c r="CC6" s="7">
        <f>'квітень 2025'!AI67</f>
        <v>7005983.7000000002</v>
      </c>
      <c r="CD6" s="7">
        <f>'квітень 2025'!AK67</f>
        <v>7005983.7000000002</v>
      </c>
      <c r="CE6" s="7">
        <f>'квітень 2025'!AM67</f>
        <v>7005983.7000000002</v>
      </c>
      <c r="CF6" s="7">
        <f>'квітень 2025'!AO67</f>
        <v>7005983.7000000002</v>
      </c>
      <c r="CG6" s="7">
        <f>'квітень 2025'!AQ67</f>
        <v>7005983.7000000002</v>
      </c>
      <c r="CH6" s="7">
        <f>'квітень 2025'!AS67</f>
        <v>7005983.7000000002</v>
      </c>
      <c r="CI6" s="7">
        <f>'травень 2025'!C66</f>
        <v>7005983.7000000002</v>
      </c>
      <c r="CJ6" s="7">
        <f>'травень 2025'!E66</f>
        <v>7005983.7000000002</v>
      </c>
      <c r="CK6" s="7">
        <f>'травень 2025'!G66</f>
        <v>7005983.7000000002</v>
      </c>
      <c r="CL6" s="7">
        <f>'травень 2025'!I66</f>
        <v>7005983.7000000002</v>
      </c>
      <c r="CM6" s="7">
        <f>'травень 2025'!K66</f>
        <v>7005983.7000000002</v>
      </c>
      <c r="CN6" s="7">
        <f>'травень 2025'!M66</f>
        <v>7005983.7000000002</v>
      </c>
      <c r="CO6" s="7">
        <f>'травень 2025'!O66</f>
        <v>7005983.7000000002</v>
      </c>
      <c r="CP6" s="7">
        <f>'травень 2025'!Q66</f>
        <v>7005983.7000000002</v>
      </c>
      <c r="CQ6" s="7">
        <f>'травень 2025'!S66</f>
        <v>7005983.7000000002</v>
      </c>
      <c r="CR6" s="7">
        <f>'травень 2025'!U66</f>
        <v>7005983.7000000002</v>
      </c>
      <c r="CS6" s="7">
        <f>'травень 2025'!W66</f>
        <v>7005983.7000000002</v>
      </c>
      <c r="CT6" s="7">
        <f>'травень 2025'!Y66</f>
        <v>7005983.7000000002</v>
      </c>
      <c r="CU6" s="7">
        <f>'травень 2025'!AA66</f>
        <v>7005983.7000000002</v>
      </c>
      <c r="CV6" s="7">
        <f>'травень 2025'!AC66</f>
        <v>7005983.7000000002</v>
      </c>
      <c r="CW6" s="7">
        <f>'травень 2025'!AE66</f>
        <v>7005983.7000000002</v>
      </c>
      <c r="CX6" s="7">
        <f>'травень 2025'!AG66</f>
        <v>7005983.7000000002</v>
      </c>
      <c r="CY6" s="7">
        <f>'травень 2025'!AI66</f>
        <v>7005983.7000000002</v>
      </c>
      <c r="CZ6" s="7">
        <f>'травень 2025'!AK66</f>
        <v>7005983.7000000002</v>
      </c>
      <c r="DA6" s="7">
        <f>'травень 2025'!AM66</f>
        <v>7005983.7000000002</v>
      </c>
      <c r="DB6" s="7">
        <f>'травень 2025'!AO66</f>
        <v>7005983.7000000002</v>
      </c>
      <c r="DC6" s="7">
        <f>'травень 2025'!AQ66</f>
        <v>7005983.7000000002</v>
      </c>
      <c r="DD6" s="7">
        <f>'травень 2025'!AS66</f>
        <v>7005983.7000000002</v>
      </c>
      <c r="DE6" s="7">
        <f>'травень 2025'!AU66</f>
        <v>7005983.7000000002</v>
      </c>
      <c r="DF6" s="7">
        <f>'червень 2025'!C73</f>
        <v>7005983.7000000002</v>
      </c>
      <c r="DG6" s="7">
        <f>'червень 2025'!E73</f>
        <v>7005983.7000000002</v>
      </c>
      <c r="DH6" s="7">
        <f>'червень 2025'!G73</f>
        <v>7005983.7000000002</v>
      </c>
      <c r="DI6" s="7">
        <f>'червень 2025'!I73</f>
        <v>7005983.7000000002</v>
      </c>
      <c r="DJ6" s="7">
        <f>'червень 2025'!K73</f>
        <v>7005983.7000000002</v>
      </c>
      <c r="DK6" s="7">
        <f>'червень 2025'!M73</f>
        <v>7005983.7000000002</v>
      </c>
      <c r="DL6" s="7">
        <f>'червень 2025'!O73</f>
        <v>7005983.7000000002</v>
      </c>
      <c r="DM6" s="7">
        <f>'червень 2025'!Q73</f>
        <v>7005983.7000000002</v>
      </c>
      <c r="DN6" s="7">
        <f>'червень 2025'!S73</f>
        <v>7005983.7000000002</v>
      </c>
      <c r="DO6" s="7">
        <f>'червень 2025'!U73</f>
        <v>7005983.7000000002</v>
      </c>
      <c r="DP6" s="7">
        <f>'червень 2025'!W73</f>
        <v>7005983.7000000002</v>
      </c>
      <c r="DQ6" s="7">
        <f>'червень 2025'!Y73</f>
        <v>7005983.7000000002</v>
      </c>
      <c r="DR6" s="7">
        <f>'червень 2025'!AA73</f>
        <v>7005983.7000000002</v>
      </c>
      <c r="DS6" s="7">
        <f>'червень 2025'!AC73</f>
        <v>7005983.7000000002</v>
      </c>
      <c r="DT6" s="7">
        <f>'червень 2025'!AE73</f>
        <v>7005983.7000000002</v>
      </c>
      <c r="DU6" s="7">
        <f>'червень 2025'!AG73</f>
        <v>7005983.7000000002</v>
      </c>
      <c r="DV6" s="7">
        <f>'червень 2025'!AI73</f>
        <v>7005983.7000000002</v>
      </c>
      <c r="DW6" s="7">
        <f>'червень 2025'!AK73</f>
        <v>7005983.7000000002</v>
      </c>
      <c r="DX6" s="7">
        <f>'червень 2025'!AM73</f>
        <v>7005983.7000000002</v>
      </c>
      <c r="DY6" s="7">
        <f>'червень 2025'!AO73</f>
        <v>7005983.7000000002</v>
      </c>
      <c r="DZ6" s="7">
        <f>'червень 2025'!AQ73</f>
        <v>7005983.7000000002</v>
      </c>
      <c r="EA6" s="576">
        <f>липень2025!C73</f>
        <v>7005983.7000000002</v>
      </c>
      <c r="EB6" s="7">
        <f>липень2025!E73</f>
        <v>7005983.7000000002</v>
      </c>
      <c r="EC6" s="7">
        <f>липень2025!G73</f>
        <v>7005983.7000000002</v>
      </c>
      <c r="ED6" s="7">
        <f>липень2025!I73</f>
        <v>7005983.7000000002</v>
      </c>
      <c r="EE6" s="7">
        <f>липень2025!K73</f>
        <v>7005983.7000000002</v>
      </c>
      <c r="EF6" s="7">
        <f>липень2025!M73</f>
        <v>7005983.7000000002</v>
      </c>
      <c r="EG6" s="7">
        <f>липень2025!O73</f>
        <v>7005983.7000000002</v>
      </c>
      <c r="EH6" s="576">
        <f>липень2025!Q73</f>
        <v>7005983.7000000002</v>
      </c>
      <c r="EI6" s="576">
        <f>липень2025!S73</f>
        <v>7005983.7000000002</v>
      </c>
      <c r="EJ6" s="576">
        <f>липень2025!U73</f>
        <v>7005983.7000000002</v>
      </c>
      <c r="EK6" s="576">
        <f>липень2025!W73</f>
        <v>7005983.7000000002</v>
      </c>
      <c r="EL6" s="576">
        <f>липень2025!Y73</f>
        <v>7005983.7000000002</v>
      </c>
      <c r="EM6" s="576">
        <f>липень2025!AA73</f>
        <v>7005983.7000000002</v>
      </c>
      <c r="EN6" s="576">
        <f>липень2025!AC73</f>
        <v>7005983.7000000002</v>
      </c>
      <c r="EO6" s="576">
        <f>липень2025!AE73</f>
        <v>7005983.7000000002</v>
      </c>
      <c r="EP6" s="576">
        <f>липень2025!AG73</f>
        <v>7005983.7000000002</v>
      </c>
      <c r="EQ6" s="576">
        <f>липень2025!AI73</f>
        <v>7005983.7000000002</v>
      </c>
      <c r="ER6" s="576">
        <f>липень2025!AK73</f>
        <v>7005983.7000000002</v>
      </c>
      <c r="ES6" s="576">
        <f>липень2025!AM73</f>
        <v>7005983.7000000002</v>
      </c>
      <c r="ET6" s="576">
        <f>липень2025!AO73</f>
        <v>7005983.7000000002</v>
      </c>
      <c r="EU6" s="576">
        <f>липень2025!AQ73</f>
        <v>7005983.7000000002</v>
      </c>
      <c r="EV6" s="576">
        <f>липень2025!AS73</f>
        <v>7005983.7000000002</v>
      </c>
      <c r="EW6" s="576">
        <f>липень2025!AU73</f>
        <v>7005983.7000000002</v>
      </c>
      <c r="EX6" s="576">
        <f>серпень2025!C75</f>
        <v>7005983.7000000002</v>
      </c>
      <c r="EY6" s="576">
        <f>серпень2025!E75</f>
        <v>7005983.7000000002</v>
      </c>
      <c r="EZ6" s="576">
        <f>серпень2025!G75</f>
        <v>7005983.7000000002</v>
      </c>
      <c r="FA6" s="576">
        <f>серпень2025!I75</f>
        <v>7005983.7000000002</v>
      </c>
      <c r="FB6" s="576">
        <f>серпень2025!K75</f>
        <v>7005983.7000000002</v>
      </c>
      <c r="FC6" s="576">
        <f>серпень2025!M75</f>
        <v>7005983.7000000002</v>
      </c>
      <c r="FD6" s="576">
        <f>серпень2025!O75</f>
        <v>7005983.7000000002</v>
      </c>
      <c r="FE6" s="576">
        <f>серпень2025!Q75</f>
        <v>7005983.7000000002</v>
      </c>
      <c r="FF6" s="576">
        <f>серпень2025!S75</f>
        <v>7005983.7000000002</v>
      </c>
      <c r="FG6" s="576">
        <f>серпень2025!U75</f>
        <v>7005983.7000000002</v>
      </c>
      <c r="FH6" s="576">
        <f>серпень2025!W75</f>
        <v>7005983.7000000002</v>
      </c>
      <c r="FI6" s="576">
        <f>серпень2025!Y75</f>
        <v>7005983.7000000002</v>
      </c>
      <c r="FJ6" s="576">
        <f>серпень2025!AA75</f>
        <v>7005983.7000000002</v>
      </c>
      <c r="FK6" s="576">
        <f>серпень2025!AC75</f>
        <v>7005983.7000000002</v>
      </c>
      <c r="FL6" s="576">
        <f>серпень2025!AE75</f>
        <v>7005983.7000000002</v>
      </c>
      <c r="FM6" s="576">
        <f>серпень2025!AG75</f>
        <v>7005983.7000000002</v>
      </c>
      <c r="FN6" s="576">
        <f>серпень2025!AI75</f>
        <v>7005983.7000000002</v>
      </c>
      <c r="FO6" s="576">
        <f>серпень2025!AK75</f>
        <v>7005983.7000000002</v>
      </c>
      <c r="FP6" s="576">
        <f>серпень2025!AM75</f>
        <v>7005983.7000000002</v>
      </c>
      <c r="FQ6" s="576">
        <f>серпень2025!AO75</f>
        <v>7005983.7000000002</v>
      </c>
      <c r="FR6" s="576">
        <f>серпень2025!AQ75</f>
        <v>7005983.7000000002</v>
      </c>
      <c r="FS6" s="576">
        <f>серпень2025!AS75</f>
        <v>7005983.7000000002</v>
      </c>
      <c r="FT6" s="576">
        <f>вересень2025!C75</f>
        <v>7005983.7000000002</v>
      </c>
      <c r="FU6" s="576">
        <f>вересень2025!E75</f>
        <v>7005983.7000000002</v>
      </c>
      <c r="FV6" s="576">
        <f>вересень2025!G75</f>
        <v>7005983.7000000002</v>
      </c>
      <c r="FW6" s="576">
        <f>вересень2025!I75</f>
        <v>7005983.7000000002</v>
      </c>
      <c r="FX6" s="576">
        <f>вересень2025!K75</f>
        <v>7005983.7000000002</v>
      </c>
      <c r="FY6" s="576">
        <f>вересень2025!M75</f>
        <v>7005983.7000000002</v>
      </c>
      <c r="FZ6" s="576">
        <f>вересень2025!O75</f>
        <v>7005983.7000000002</v>
      </c>
      <c r="GA6" s="576">
        <f>вересень2025!Q75</f>
        <v>7005983.7000000002</v>
      </c>
      <c r="GB6" s="576">
        <f>вересень2025!S75</f>
        <v>7005983.7000000002</v>
      </c>
      <c r="GC6" s="576">
        <f>вересень2025!U75</f>
        <v>7005983.7000000002</v>
      </c>
      <c r="GD6" s="576">
        <f>вересень2025!W75</f>
        <v>7005983.7000000002</v>
      </c>
      <c r="GE6" s="576">
        <f>вересень2025!Y75</f>
        <v>7005983.7000000002</v>
      </c>
      <c r="GF6" s="576">
        <f>вересень2025!AA75</f>
        <v>7005983.7000000002</v>
      </c>
      <c r="GG6" s="576">
        <f>вересень2025!AC75</f>
        <v>7005983.7000000002</v>
      </c>
      <c r="GH6" s="576">
        <f>вересень2025!AE75</f>
        <v>7005983.7000000002</v>
      </c>
      <c r="GI6" s="576">
        <f>вересень2025!AG75</f>
        <v>7005983.7000000002</v>
      </c>
      <c r="GJ6" s="576">
        <f>вересень2025!AI75</f>
        <v>7005983.7000000002</v>
      </c>
      <c r="GK6" s="576">
        <f>вересень2025!AK75</f>
        <v>7005983.7000000002</v>
      </c>
      <c r="GL6" s="576">
        <f>вересень2025!AM75</f>
        <v>7005983.7000000002</v>
      </c>
      <c r="GM6" s="576">
        <f>вересень2025!AO75</f>
        <v>7005983.7000000002</v>
      </c>
      <c r="GN6" s="576">
        <f>вересень2025!AQ75</f>
        <v>7005983.7000000002</v>
      </c>
      <c r="GO6" s="576">
        <f>вересень2025!AS75</f>
        <v>7005983.7000000002</v>
      </c>
      <c r="GP6" s="576">
        <f>'жовтень 2025'!C72</f>
        <v>7005983.7000000002</v>
      </c>
      <c r="GQ6" s="576">
        <f>'жовтень 2025'!E72</f>
        <v>7005983.7000000002</v>
      </c>
      <c r="GR6" s="576">
        <f>'жовтень 2025'!G72</f>
        <v>7005983.7000000002</v>
      </c>
      <c r="GS6" s="576">
        <f>'жовтень 2025'!I72</f>
        <v>7005983.7000000002</v>
      </c>
      <c r="GT6" s="576">
        <f>'жовтень 2025'!K72</f>
        <v>7005983.7000000002</v>
      </c>
      <c r="GU6" s="576">
        <f>'жовтень 2025'!M72</f>
        <v>7005983.7000000002</v>
      </c>
      <c r="GV6" s="576">
        <f>'жовтень 2025'!O72</f>
        <v>7005983.7000000002</v>
      </c>
      <c r="GW6" s="576">
        <f>'жовтень 2025'!Q72</f>
        <v>7005983.7000000002</v>
      </c>
      <c r="GX6" s="576">
        <f>'жовтень 2025'!S72</f>
        <v>7005983.7000000002</v>
      </c>
      <c r="GY6" s="576">
        <f>'жовтень 2025'!U72</f>
        <v>7005983.7000000002</v>
      </c>
      <c r="GZ6" s="576">
        <f>'жовтень 2025'!W72</f>
        <v>7005983.7000000002</v>
      </c>
      <c r="HA6" s="576">
        <f>'жовтень 2025'!Y72</f>
        <v>7005983.7000000002</v>
      </c>
      <c r="HB6" s="576">
        <f>'жовтень 2025'!AA72</f>
        <v>7005983.7000000002</v>
      </c>
      <c r="HC6" s="576">
        <f>'жовтень 2025'!AC72</f>
        <v>7005983.7000000002</v>
      </c>
      <c r="HD6" s="576">
        <f>'жовтень 2025'!AE72</f>
        <v>7005983.7000000002</v>
      </c>
      <c r="HE6" s="576">
        <f>'жовтень 2025'!AG72</f>
        <v>7005983.7000000002</v>
      </c>
      <c r="HF6" s="576">
        <f>'жовтень 2025'!AI72</f>
        <v>7005983.7000000002</v>
      </c>
      <c r="HG6" s="576">
        <f>'жовтень 2025'!AK72</f>
        <v>7005983.7000000002</v>
      </c>
      <c r="HH6" s="576">
        <f>'жовтень 2025'!AM72</f>
        <v>7005983.7000000002</v>
      </c>
      <c r="HI6" s="576">
        <f>'жовтень 2025'!AO72</f>
        <v>7005983.7000000002</v>
      </c>
      <c r="HJ6" s="576">
        <f>'жовтень 2025'!AQ72</f>
        <v>7005983.7000000002</v>
      </c>
      <c r="HK6" s="576">
        <f>'жовтень 2025'!AS72</f>
        <v>7005983.7000000002</v>
      </c>
    </row>
    <row r="7" spans="1:219">
      <c r="A7" s="6" t="s">
        <v>4</v>
      </c>
      <c r="B7" s="351">
        <f>'січень 2025'!C70</f>
        <v>0</v>
      </c>
      <c r="C7" s="351">
        <f>'січень 2025'!E70</f>
        <v>0</v>
      </c>
      <c r="D7" s="351">
        <f>'січень 2025'!G70</f>
        <v>0</v>
      </c>
      <c r="E7" s="351">
        <f>'січень 2025'!I70</f>
        <v>0</v>
      </c>
      <c r="F7" s="351">
        <f>'січень 2025'!K70</f>
        <v>0</v>
      </c>
      <c r="G7" s="351">
        <f>'січень 2025'!M70</f>
        <v>0</v>
      </c>
      <c r="H7" s="351">
        <f>'січень 2025'!O70</f>
        <v>0</v>
      </c>
      <c r="I7" s="351">
        <f>'січень 2025'!Q70</f>
        <v>0</v>
      </c>
      <c r="J7" s="351">
        <f>'січень 2025'!S70</f>
        <v>0</v>
      </c>
      <c r="K7" s="351">
        <f>'січень 2025'!U70</f>
        <v>0</v>
      </c>
      <c r="L7" s="351">
        <f>'січень 2025'!W70</f>
        <v>0</v>
      </c>
      <c r="M7" s="351">
        <f>'січень 2025'!Y70</f>
        <v>0</v>
      </c>
      <c r="N7" s="351">
        <f>'січень 2025'!AA70</f>
        <v>0</v>
      </c>
      <c r="O7" s="351">
        <f>'січень 2025'!AC70</f>
        <v>0</v>
      </c>
      <c r="P7" s="351">
        <f>'січень 2025'!AE70</f>
        <v>0</v>
      </c>
      <c r="Q7" s="351">
        <f>'січень 2025'!AG70</f>
        <v>0</v>
      </c>
      <c r="R7" s="351">
        <f>'січень 2025'!AI70</f>
        <v>0</v>
      </c>
      <c r="S7" s="351">
        <f>'січень 2025'!AK70</f>
        <v>0</v>
      </c>
      <c r="T7" s="351">
        <f>'січень 2025'!AM70</f>
        <v>0</v>
      </c>
      <c r="U7" s="351">
        <f>'січень 2025'!AO70</f>
        <v>0</v>
      </c>
      <c r="V7" s="351">
        <f>'січень 2025'!AQ70</f>
        <v>0</v>
      </c>
      <c r="W7" s="351">
        <f>'січень 2025'!AS70</f>
        <v>0</v>
      </c>
      <c r="X7" s="351">
        <f>лютий2025!C71</f>
        <v>0</v>
      </c>
      <c r="Y7" s="351">
        <f>лютий2025!E71</f>
        <v>0</v>
      </c>
      <c r="Z7" s="351">
        <f>лютий2025!G71</f>
        <v>0</v>
      </c>
      <c r="AA7" s="351">
        <f>лютий2025!I71</f>
        <v>0</v>
      </c>
      <c r="AB7" s="351">
        <f>лютий2025!K71</f>
        <v>0</v>
      </c>
      <c r="AC7" s="351">
        <f>лютий2025!M71</f>
        <v>0</v>
      </c>
      <c r="AD7" s="351">
        <f>лютий2025!O71</f>
        <v>0</v>
      </c>
      <c r="AE7" s="351">
        <f>лютий2025!Q71</f>
        <v>0</v>
      </c>
      <c r="AF7" s="351">
        <f>лютий2025!S71</f>
        <v>0</v>
      </c>
      <c r="AG7" s="351">
        <f>лютий2025!U71</f>
        <v>0</v>
      </c>
      <c r="AH7" s="351">
        <f>лютий2025!W71</f>
        <v>0</v>
      </c>
      <c r="AI7" s="351">
        <f>лютий2025!Y71</f>
        <v>0</v>
      </c>
      <c r="AJ7" s="351">
        <f>лютий2025!AA71</f>
        <v>0</v>
      </c>
      <c r="AK7" s="351">
        <f>лютий2025!AC71</f>
        <v>0</v>
      </c>
      <c r="AL7" s="351">
        <f>лютий2025!AE71</f>
        <v>0</v>
      </c>
      <c r="AM7" s="351">
        <f>лютий2025!AG71</f>
        <v>0</v>
      </c>
      <c r="AN7" s="351">
        <f>лютий2025!AI71</f>
        <v>0</v>
      </c>
      <c r="AO7" s="351">
        <f>лютий2025!AK71</f>
        <v>0</v>
      </c>
      <c r="AP7" s="351">
        <f>лютий2025!AM71</f>
        <v>0</v>
      </c>
      <c r="AQ7" s="351">
        <f>лютий2025!AO71</f>
        <v>0</v>
      </c>
      <c r="AR7" s="351">
        <f>березень2025!G69</f>
        <v>0</v>
      </c>
      <c r="AS7" s="351">
        <f>березень2025!I69</f>
        <v>0</v>
      </c>
      <c r="AT7" s="351">
        <f>березень2025!K69</f>
        <v>0</v>
      </c>
      <c r="AU7" s="351">
        <f>березень2025!M69</f>
        <v>0</v>
      </c>
      <c r="AV7" s="351">
        <f>березень2025!O69</f>
        <v>0</v>
      </c>
      <c r="AW7" s="351">
        <f>березень2025!Q69</f>
        <v>0</v>
      </c>
      <c r="AX7" s="351">
        <f>березень2025!S69</f>
        <v>0</v>
      </c>
      <c r="AY7" s="351">
        <f>березень2025!U69</f>
        <v>0</v>
      </c>
      <c r="AZ7" s="351">
        <f>березень2025!W69</f>
        <v>0</v>
      </c>
      <c r="BA7" s="351">
        <f>березень2025!Y69</f>
        <v>0</v>
      </c>
      <c r="BB7" s="351">
        <f>березень2025!AA69</f>
        <v>0</v>
      </c>
      <c r="BC7" s="351">
        <f>березень2025!AC69</f>
        <v>0</v>
      </c>
      <c r="BD7" s="351">
        <f>березень2025!AE69</f>
        <v>0</v>
      </c>
      <c r="BE7" s="351">
        <f>березень2025!AG69</f>
        <v>0</v>
      </c>
      <c r="BF7" s="351">
        <f>березень2025!AI69</f>
        <v>0</v>
      </c>
      <c r="BG7" s="351">
        <f>березень2025!AK69</f>
        <v>0</v>
      </c>
      <c r="BH7" s="351">
        <f>березень2025!AM69</f>
        <v>0</v>
      </c>
      <c r="BI7" s="351">
        <f>березень2025!AO69</f>
        <v>0</v>
      </c>
      <c r="BJ7" s="351">
        <f>березень2025!AQ69</f>
        <v>0</v>
      </c>
      <c r="BK7" s="351">
        <f>березень2025!AS69</f>
        <v>0</v>
      </c>
      <c r="BL7" s="351">
        <f>березень2025!AU69</f>
        <v>0</v>
      </c>
      <c r="BM7" s="351">
        <f>'квітень 2025'!C68</f>
        <v>0</v>
      </c>
      <c r="BN7" s="351">
        <f>'квітень 2025'!E68</f>
        <v>0</v>
      </c>
      <c r="BO7" s="351">
        <f>'квітень 2025'!G68</f>
        <v>0</v>
      </c>
      <c r="BP7" s="351">
        <f>'квітень 2025'!I68</f>
        <v>0</v>
      </c>
      <c r="BQ7" s="351">
        <f>'квітень 2025'!K68</f>
        <v>0</v>
      </c>
      <c r="BR7" s="707">
        <f>'квітень 2025'!M68</f>
        <v>0</v>
      </c>
      <c r="BS7" s="7">
        <f>'квітень 2025'!O68</f>
        <v>0</v>
      </c>
      <c r="BT7" s="7">
        <f>'квітень 2025'!Q68</f>
        <v>0</v>
      </c>
      <c r="BU7" s="7">
        <f>'квітень 2025'!S68</f>
        <v>0</v>
      </c>
      <c r="BV7" s="7">
        <f>'квітень 2025'!U68</f>
        <v>0</v>
      </c>
      <c r="BW7" s="7">
        <f>'квітень 2025'!W68</f>
        <v>0</v>
      </c>
      <c r="BX7" s="7">
        <f>'квітень 2025'!Y68</f>
        <v>0</v>
      </c>
      <c r="BY7" s="7">
        <f>'квітень 2025'!AA68</f>
        <v>0</v>
      </c>
      <c r="BZ7" s="7">
        <f>'квітень 2025'!AC68</f>
        <v>0</v>
      </c>
      <c r="CA7" s="7">
        <f>'квітень 2025'!AE68</f>
        <v>0</v>
      </c>
      <c r="CB7" s="7">
        <f>'квітень 2025'!AG68</f>
        <v>0</v>
      </c>
      <c r="CC7" s="7">
        <f>'квітень 2025'!AI68</f>
        <v>0</v>
      </c>
      <c r="CD7" s="7">
        <f>'квітень 2025'!AK68</f>
        <v>0</v>
      </c>
      <c r="CE7" s="7">
        <f>'квітень 2025'!AM68</f>
        <v>0</v>
      </c>
      <c r="CF7" s="7">
        <f>'квітень 2025'!AO68</f>
        <v>0</v>
      </c>
      <c r="CG7" s="7">
        <f>'квітень 2025'!AQ68</f>
        <v>0</v>
      </c>
      <c r="CH7" s="7">
        <f>'квітень 2025'!AS68</f>
        <v>0</v>
      </c>
      <c r="CI7" s="7">
        <f>'травень 2025'!C67</f>
        <v>0</v>
      </c>
      <c r="CJ7" s="7">
        <f>'травень 2025'!E67</f>
        <v>0</v>
      </c>
      <c r="CK7" s="7">
        <f>'травень 2025'!G67</f>
        <v>0</v>
      </c>
      <c r="CL7" s="7">
        <f>'травень 2025'!I67</f>
        <v>0</v>
      </c>
      <c r="CM7" s="7">
        <f>'травень 2025'!K67</f>
        <v>0</v>
      </c>
      <c r="CN7" s="7">
        <f>'травень 2025'!M67</f>
        <v>0</v>
      </c>
      <c r="CO7" s="7">
        <f>'травень 2025'!O67</f>
        <v>0</v>
      </c>
      <c r="CP7" s="7">
        <f>'травень 2025'!Q67</f>
        <v>0</v>
      </c>
      <c r="CQ7" s="7">
        <f>'травень 2025'!S67</f>
        <v>0</v>
      </c>
      <c r="CR7" s="7">
        <f>'травень 2025'!U67</f>
        <v>0</v>
      </c>
      <c r="CS7" s="7">
        <f>'травень 2025'!W67</f>
        <v>0</v>
      </c>
      <c r="CT7" s="7">
        <f>'травень 2025'!Y67</f>
        <v>0</v>
      </c>
      <c r="CU7" s="7">
        <f>'травень 2025'!AA67</f>
        <v>0</v>
      </c>
      <c r="CV7" s="7">
        <f>'травень 2025'!AC67</f>
        <v>0</v>
      </c>
      <c r="CW7" s="7">
        <f>'травень 2025'!AE67</f>
        <v>0</v>
      </c>
      <c r="CX7" s="7">
        <f>'травень 2025'!AG67</f>
        <v>0</v>
      </c>
      <c r="CY7" s="7">
        <f>'травень 2025'!AI67</f>
        <v>0</v>
      </c>
      <c r="CZ7" s="7">
        <f>'травень 2025'!AK67</f>
        <v>0</v>
      </c>
      <c r="DA7" s="7">
        <f>'травень 2025'!AM67</f>
        <v>0</v>
      </c>
      <c r="DB7" s="7">
        <f>'травень 2025'!AO67</f>
        <v>0</v>
      </c>
      <c r="DC7" s="7">
        <f>'травень 2025'!AQ67</f>
        <v>0</v>
      </c>
      <c r="DD7" s="7">
        <f>'травень 2025'!AS67</f>
        <v>0</v>
      </c>
      <c r="DE7" s="7">
        <f>'травень 2025'!AU67</f>
        <v>0</v>
      </c>
      <c r="DF7" s="7">
        <f>'червень 2025'!C74</f>
        <v>0</v>
      </c>
      <c r="DG7" s="7">
        <f>'червень 2025'!E74</f>
        <v>0</v>
      </c>
      <c r="DH7" s="7">
        <f>'червень 2025'!G74</f>
        <v>0</v>
      </c>
      <c r="DI7" s="7">
        <f>'червень 2025'!I74</f>
        <v>0</v>
      </c>
      <c r="DJ7" s="7">
        <f>'червень 2025'!K74</f>
        <v>0</v>
      </c>
      <c r="DK7" s="7">
        <f>'червень 2025'!M74</f>
        <v>0</v>
      </c>
      <c r="DL7" s="7">
        <f>'червень 2025'!O74</f>
        <v>0</v>
      </c>
      <c r="DM7" s="7">
        <f>'червень 2025'!Q74</f>
        <v>0</v>
      </c>
      <c r="DN7" s="7">
        <f>'червень 2025'!S74</f>
        <v>0</v>
      </c>
      <c r="DO7" s="7">
        <f>'червень 2025'!U74</f>
        <v>0</v>
      </c>
      <c r="DP7" s="7">
        <f>'червень 2025'!W74</f>
        <v>0</v>
      </c>
      <c r="DQ7" s="7">
        <f>'червень 2025'!Y74</f>
        <v>0</v>
      </c>
      <c r="DR7" s="7">
        <f>'червень 2025'!AA74</f>
        <v>0</v>
      </c>
      <c r="DS7" s="7">
        <f>'червень 2025'!AC74</f>
        <v>0</v>
      </c>
      <c r="DT7" s="7">
        <f>'червень 2025'!AE74</f>
        <v>0</v>
      </c>
      <c r="DU7" s="7">
        <f>'червень 2025'!AG74</f>
        <v>0</v>
      </c>
      <c r="DV7" s="7">
        <f>'червень 2025'!AI74</f>
        <v>0</v>
      </c>
      <c r="DW7" s="7">
        <f>'червень 2025'!AK74</f>
        <v>0</v>
      </c>
      <c r="DX7" s="7">
        <f>'червень 2025'!AM74</f>
        <v>0</v>
      </c>
      <c r="DY7" s="7">
        <f>'червень 2025'!AO74</f>
        <v>0</v>
      </c>
      <c r="DZ7" s="7">
        <f>'червень 2025'!AQ74</f>
        <v>0</v>
      </c>
      <c r="EA7" s="576">
        <f>липень2025!C74</f>
        <v>0</v>
      </c>
      <c r="EB7" s="7">
        <f>липень2025!E74</f>
        <v>0</v>
      </c>
      <c r="EC7" s="7">
        <f>липень2025!G74</f>
        <v>0</v>
      </c>
      <c r="ED7" s="7">
        <f>липень2025!I74</f>
        <v>0</v>
      </c>
      <c r="EE7" s="7">
        <f>липень2025!K74</f>
        <v>0</v>
      </c>
      <c r="EF7" s="7">
        <f>липень2025!M74</f>
        <v>0</v>
      </c>
      <c r="EG7" s="7">
        <f>липень2025!O74</f>
        <v>0</v>
      </c>
      <c r="EH7" s="576">
        <f>липень2025!Q74</f>
        <v>0</v>
      </c>
      <c r="EI7" s="576">
        <f>липень2025!S74</f>
        <v>0</v>
      </c>
      <c r="EJ7" s="576">
        <f>липень2025!U74</f>
        <v>0</v>
      </c>
      <c r="EK7" s="576">
        <f>липень2025!W74</f>
        <v>0</v>
      </c>
      <c r="EL7" s="576">
        <f>липень2025!Y74</f>
        <v>0</v>
      </c>
      <c r="EM7" s="576">
        <f>липень2025!AA74</f>
        <v>0</v>
      </c>
      <c r="EN7" s="576">
        <f>липень2025!AC74</f>
        <v>0</v>
      </c>
      <c r="EO7" s="576">
        <f>липень2025!AE74</f>
        <v>0</v>
      </c>
      <c r="EP7" s="576">
        <f>липень2025!AG74</f>
        <v>0</v>
      </c>
      <c r="EQ7" s="576">
        <f>липень2025!AI74</f>
        <v>0</v>
      </c>
      <c r="ER7" s="576">
        <f>липень2025!AK74</f>
        <v>0</v>
      </c>
      <c r="ES7" s="576">
        <f>липень2025!AM74</f>
        <v>0</v>
      </c>
      <c r="ET7" s="576">
        <f>липень2025!AO74</f>
        <v>0</v>
      </c>
      <c r="EU7" s="576">
        <f>липень2025!AQ74</f>
        <v>0</v>
      </c>
      <c r="EV7" s="576">
        <f>липень2025!AS74</f>
        <v>0</v>
      </c>
      <c r="EW7" s="576">
        <f>липень2025!AU74</f>
        <v>0</v>
      </c>
      <c r="EX7" s="576">
        <f>серпень2025!C76</f>
        <v>0</v>
      </c>
      <c r="EY7" s="576">
        <f>серпень2025!E76</f>
        <v>0</v>
      </c>
      <c r="EZ7" s="576">
        <f>серпень2025!G76</f>
        <v>0</v>
      </c>
      <c r="FA7" s="576">
        <f>серпень2025!I76</f>
        <v>0</v>
      </c>
      <c r="FB7" s="576">
        <f>серпень2025!K76</f>
        <v>0</v>
      </c>
      <c r="FC7" s="576">
        <f>серпень2025!M76</f>
        <v>0</v>
      </c>
      <c r="FD7" s="576">
        <f>серпень2025!O76</f>
        <v>0</v>
      </c>
      <c r="FE7" s="576">
        <f>серпень2025!Q76</f>
        <v>0</v>
      </c>
      <c r="FF7" s="576">
        <f>серпень2025!S76</f>
        <v>0</v>
      </c>
      <c r="FG7" s="576">
        <f>серпень2025!U76</f>
        <v>0</v>
      </c>
      <c r="FH7" s="576">
        <f>серпень2025!W76</f>
        <v>0</v>
      </c>
      <c r="FI7" s="576">
        <f>серпень2025!Y76</f>
        <v>0</v>
      </c>
      <c r="FJ7" s="576">
        <f>серпень2025!AA76</f>
        <v>0</v>
      </c>
      <c r="FK7" s="576">
        <f>серпень2025!AC76</f>
        <v>0</v>
      </c>
      <c r="FL7" s="576">
        <f>серпень2025!AE76</f>
        <v>0</v>
      </c>
      <c r="FM7" s="576">
        <f>серпень2025!AG76</f>
        <v>0</v>
      </c>
      <c r="FN7" s="576">
        <f>серпень2025!AI76</f>
        <v>0</v>
      </c>
      <c r="FO7" s="576">
        <f>серпень2025!AK76</f>
        <v>0</v>
      </c>
      <c r="FP7" s="576">
        <f>серпень2025!AM76</f>
        <v>0</v>
      </c>
      <c r="FQ7" s="576">
        <f>серпень2025!AO76</f>
        <v>0</v>
      </c>
      <c r="FR7" s="576">
        <f>серпень2025!AQ76</f>
        <v>0</v>
      </c>
      <c r="FS7" s="576">
        <f>серпень2025!AS76</f>
        <v>0</v>
      </c>
      <c r="FT7" s="576">
        <f>вересень2025!C76</f>
        <v>0</v>
      </c>
      <c r="FU7" s="576">
        <f>вересень2025!E76</f>
        <v>0</v>
      </c>
      <c r="FV7" s="576">
        <f>вересень2025!G76</f>
        <v>0</v>
      </c>
      <c r="FW7" s="576">
        <f>вересень2025!I76</f>
        <v>0</v>
      </c>
      <c r="FX7" s="576">
        <f>вересень2025!K76</f>
        <v>0</v>
      </c>
      <c r="FY7" s="576">
        <f>вересень2025!M76</f>
        <v>0</v>
      </c>
      <c r="FZ7" s="576">
        <f>вересень2025!O76</f>
        <v>0</v>
      </c>
      <c r="GA7" s="576">
        <f>вересень2025!Q76</f>
        <v>0</v>
      </c>
      <c r="GB7" s="576">
        <f>вересень2025!S76</f>
        <v>0</v>
      </c>
      <c r="GC7" s="576">
        <f>вересень2025!U76</f>
        <v>0</v>
      </c>
      <c r="GD7" s="576">
        <f>вересень2025!W76</f>
        <v>0</v>
      </c>
      <c r="GE7" s="576">
        <f>вересень2025!Y76</f>
        <v>0</v>
      </c>
      <c r="GF7" s="576">
        <f>вересень2025!AA76</f>
        <v>0</v>
      </c>
      <c r="GG7" s="576">
        <f>вересень2025!AC76</f>
        <v>0</v>
      </c>
      <c r="GH7" s="576">
        <f>вересень2025!AE76</f>
        <v>0</v>
      </c>
      <c r="GI7" s="576">
        <f>вересень2025!AG76</f>
        <v>0</v>
      </c>
      <c r="GJ7" s="576">
        <f>вересень2025!AI76</f>
        <v>0</v>
      </c>
      <c r="GK7" s="576">
        <f>вересень2025!AK76</f>
        <v>0</v>
      </c>
      <c r="GL7" s="576">
        <f>вересень2025!AM76</f>
        <v>0</v>
      </c>
      <c r="GM7" s="576">
        <f>вересень2025!AO76</f>
        <v>0</v>
      </c>
      <c r="GN7" s="576">
        <f>вересень2025!AQ76</f>
        <v>0</v>
      </c>
      <c r="GO7" s="576">
        <f>вересень2025!AS76</f>
        <v>0</v>
      </c>
      <c r="GP7" s="576">
        <f>'жовтень 2025'!C73</f>
        <v>0</v>
      </c>
      <c r="GQ7" s="576">
        <f>'жовтень 2025'!E73</f>
        <v>0</v>
      </c>
      <c r="GR7" s="576">
        <f>'жовтень 2025'!G73</f>
        <v>0</v>
      </c>
      <c r="GS7" s="576">
        <f>'жовтень 2025'!I73</f>
        <v>0</v>
      </c>
      <c r="GT7" s="576">
        <f>'жовтень 2025'!K73</f>
        <v>0</v>
      </c>
      <c r="GU7" s="576">
        <f>'жовтень 2025'!M73</f>
        <v>0</v>
      </c>
      <c r="GV7" s="576">
        <f>'жовтень 2025'!O73</f>
        <v>0</v>
      </c>
      <c r="GW7" s="576">
        <f>'жовтень 2025'!Q73</f>
        <v>0</v>
      </c>
      <c r="GX7" s="576">
        <f>'жовтень 2025'!S73</f>
        <v>0</v>
      </c>
      <c r="GY7" s="576">
        <f>'жовтень 2025'!U73</f>
        <v>0</v>
      </c>
      <c r="GZ7" s="576">
        <f>'жовтень 2025'!W73</f>
        <v>0</v>
      </c>
      <c r="HA7" s="576">
        <f>'жовтень 2025'!Y73</f>
        <v>0</v>
      </c>
      <c r="HB7" s="576">
        <f>'жовтень 2025'!AA73</f>
        <v>0</v>
      </c>
      <c r="HC7" s="576">
        <f>'жовтень 2025'!AC73</f>
        <v>0</v>
      </c>
      <c r="HD7" s="576">
        <f>'жовтень 2025'!AE73</f>
        <v>0</v>
      </c>
      <c r="HE7" s="576">
        <f>'жовтень 2025'!AG73</f>
        <v>0</v>
      </c>
      <c r="HF7" s="576">
        <f>'жовтень 2025'!AI73</f>
        <v>0</v>
      </c>
      <c r="HG7" s="576">
        <f>'жовтень 2025'!AK73</f>
        <v>0</v>
      </c>
      <c r="HH7" s="576">
        <f>'жовтень 2025'!AM73</f>
        <v>0</v>
      </c>
      <c r="HI7" s="576">
        <f>'жовтень 2025'!AO73</f>
        <v>0</v>
      </c>
      <c r="HJ7" s="576">
        <f>'жовтень 2025'!AQ73</f>
        <v>0</v>
      </c>
      <c r="HK7" s="576">
        <f>'жовтень 2025'!AS73</f>
        <v>0</v>
      </c>
    </row>
    <row r="8" spans="1:219">
      <c r="A8" s="6" t="s">
        <v>5</v>
      </c>
      <c r="B8" s="351">
        <f>'січень 2025'!C71</f>
        <v>5386817.1799999988</v>
      </c>
      <c r="C8" s="351">
        <f>'січень 2025'!E71</f>
        <v>5390921.2699999996</v>
      </c>
      <c r="D8" s="351">
        <f>'січень 2025'!G71</f>
        <v>5392629.3099999996</v>
      </c>
      <c r="E8" s="351">
        <f>'січень 2025'!I71</f>
        <v>5401223.54</v>
      </c>
      <c r="F8" s="351">
        <f>'січень 2025'!K71</f>
        <v>5581593.5000000009</v>
      </c>
      <c r="G8" s="351">
        <f>'січень 2025'!M71</f>
        <v>5404718.6699999999</v>
      </c>
      <c r="H8" s="351">
        <f>'січень 2025'!O71</f>
        <v>5315387.7800000012</v>
      </c>
      <c r="I8" s="351">
        <f>'січень 2025'!Q71</f>
        <v>5321634.8499999996</v>
      </c>
      <c r="J8" s="351">
        <f>'січень 2025'!S71</f>
        <v>5337575.37</v>
      </c>
      <c r="K8" s="351">
        <f>'січень 2025'!U71</f>
        <v>5268149.8900000006</v>
      </c>
      <c r="L8" s="351">
        <f>'січень 2025'!W71</f>
        <v>5269906.0100000007</v>
      </c>
      <c r="M8" s="351">
        <f>'січень 2025'!Y71</f>
        <v>5271662.169999999</v>
      </c>
      <c r="N8" s="351">
        <f>'січень 2025'!AA71</f>
        <v>5276930.58</v>
      </c>
      <c r="O8" s="351">
        <f>'січень 2025'!AC71</f>
        <v>5286283.79</v>
      </c>
      <c r="P8" s="351">
        <f>'січень 2025'!AE71</f>
        <v>5288039.9300000016</v>
      </c>
      <c r="Q8" s="351">
        <f>'січень 2025'!AG71</f>
        <v>5289828.76</v>
      </c>
      <c r="R8" s="351">
        <f>'січень 2025'!AI71</f>
        <v>5291617.62</v>
      </c>
      <c r="S8" s="351">
        <f>'січень 2025'!AK71</f>
        <v>5270088.16</v>
      </c>
      <c r="T8" s="351">
        <f>'січень 2025'!AM71</f>
        <v>5271250.01</v>
      </c>
      <c r="U8" s="351">
        <f>'січень 2025'!AO71</f>
        <v>5273066.16</v>
      </c>
      <c r="V8" s="351">
        <f>'січень 2025'!AQ71</f>
        <v>5274940.7299999986</v>
      </c>
      <c r="W8" s="351">
        <f>'січень 2025'!AS71</f>
        <v>5442424.0500000017</v>
      </c>
      <c r="X8" s="351">
        <f>лютий2025!C72</f>
        <v>5342833.7100000009</v>
      </c>
      <c r="Y8" s="351">
        <f>лютий2025!E72</f>
        <v>5344708.3000000007</v>
      </c>
      <c r="Z8" s="351">
        <f>лютий2025!G72</f>
        <v>5354479.8800000008</v>
      </c>
      <c r="AA8" s="351">
        <f>лютий2025!I72</f>
        <v>5325743.5399999991</v>
      </c>
      <c r="AB8" s="351">
        <f>лютий2025!K72</f>
        <v>5322322.58</v>
      </c>
      <c r="AC8" s="351">
        <f>лютий2025!M72</f>
        <v>5262621.7800000021</v>
      </c>
      <c r="AD8" s="351">
        <f>лютий2025!O72</f>
        <v>5264453.8100000015</v>
      </c>
      <c r="AE8" s="351">
        <f>лютий2025!Q72</f>
        <v>5315279.5700000022</v>
      </c>
      <c r="AF8" s="351">
        <f>лютий2025!S72</f>
        <v>5317111.6499999994</v>
      </c>
      <c r="AG8" s="351">
        <f>лютий2025!U72</f>
        <v>5301107.9400000013</v>
      </c>
      <c r="AH8" s="351">
        <f>лютий2025!W72</f>
        <v>5306604.129999999</v>
      </c>
      <c r="AI8" s="351">
        <f>лютий2025!Y72</f>
        <v>5457268.3199999994</v>
      </c>
      <c r="AJ8" s="351">
        <f>лютий2025!AA72</f>
        <v>5334284.6599999992</v>
      </c>
      <c r="AK8" s="351">
        <f>лютий2025!AC72</f>
        <v>5336116.709999999</v>
      </c>
      <c r="AL8" s="351">
        <f>лютий2025!AE72</f>
        <v>5189139.1599999992</v>
      </c>
      <c r="AM8" s="351">
        <f>лютий2025!AG72</f>
        <v>5194702.8500000006</v>
      </c>
      <c r="AN8" s="351">
        <f>лютий2025!AI72</f>
        <v>5206122.330000001</v>
      </c>
      <c r="AO8" s="351">
        <f>лютий2025!AK72</f>
        <v>5207976.88</v>
      </c>
      <c r="AP8" s="351">
        <f>лютий2025!AM72</f>
        <v>5199863.28</v>
      </c>
      <c r="AQ8" s="351">
        <f>лютий2025!AO72</f>
        <v>5350775.91</v>
      </c>
      <c r="AR8" s="351">
        <f>березень2025!G70</f>
        <v>5260342.95</v>
      </c>
      <c r="AS8" s="351">
        <f>березень2025!I70</f>
        <v>5162701.1900000004</v>
      </c>
      <c r="AT8" s="351">
        <f>березень2025!K70</f>
        <v>5165977.2700000005</v>
      </c>
      <c r="AU8" s="351">
        <f>березень2025!M70</f>
        <v>5136992.66</v>
      </c>
      <c r="AV8" s="351">
        <f>березень2025!O70</f>
        <v>5002291.4299999988</v>
      </c>
      <c r="AW8" s="351">
        <f>березень2025!Q70</f>
        <v>4945181.62</v>
      </c>
      <c r="AX8" s="351">
        <f>березень2025!S70</f>
        <v>4949856.8500000015</v>
      </c>
      <c r="AY8" s="351">
        <f>березень2025!U70</f>
        <v>4948807.7300000014</v>
      </c>
      <c r="AZ8" s="351">
        <f>березень2025!W70</f>
        <v>4941249.4700000016</v>
      </c>
      <c r="BA8" s="351">
        <f>березень2025!Y70</f>
        <v>4943354.3899999997</v>
      </c>
      <c r="BB8" s="351">
        <f>березень2025!AA70</f>
        <v>4947346</v>
      </c>
      <c r="BC8" s="351">
        <f>березень2025!AC70</f>
        <v>4954512.9300000006</v>
      </c>
      <c r="BD8" s="351">
        <f>березень2025!AE70</f>
        <v>5077282.88</v>
      </c>
      <c r="BE8" s="351">
        <f>березень2025!AG70</f>
        <v>5079387.8000000007</v>
      </c>
      <c r="BF8" s="351">
        <f>березень2025!AI70</f>
        <v>5182443.1300000018</v>
      </c>
      <c r="BG8" s="351">
        <f>березень2025!AK70</f>
        <v>5188757.8499999996</v>
      </c>
      <c r="BH8" s="351">
        <f>березень2025!AM70</f>
        <v>5190862.78</v>
      </c>
      <c r="BI8" s="351">
        <f>березень2025!AO70</f>
        <v>5092507.25</v>
      </c>
      <c r="BJ8" s="351">
        <f>березень2025!AQ70</f>
        <v>5085498</v>
      </c>
      <c r="BK8" s="351">
        <f>березень2025!AS70</f>
        <v>5087495.5200000005</v>
      </c>
      <c r="BL8" s="351">
        <f>березень2025!AU70</f>
        <v>5249660.2299999995</v>
      </c>
      <c r="BM8" s="351">
        <f>'квітень 2025'!C69</f>
        <v>5136203.7300000014</v>
      </c>
      <c r="BN8" s="351">
        <f>'квітень 2025'!E69</f>
        <v>5039001.25</v>
      </c>
      <c r="BO8" s="351">
        <f>'квітень 2025'!G69</f>
        <v>5040966.0900000008</v>
      </c>
      <c r="BP8" s="351">
        <f>'квітень 2025'!I69</f>
        <v>5042930.88</v>
      </c>
      <c r="BQ8" s="351">
        <f>'квітень 2025'!K69</f>
        <v>4966530.63</v>
      </c>
      <c r="BR8" s="707">
        <f>'квітень 2025'!M69</f>
        <v>4972885.2899999991</v>
      </c>
      <c r="BS8" s="7">
        <f>'квітень 2025'!O69</f>
        <v>5153472.5100000007</v>
      </c>
      <c r="BT8" s="7">
        <f>'квітень 2025'!Q69</f>
        <v>4976814.9399999995</v>
      </c>
      <c r="BU8" s="7">
        <f>'квітень 2025'!S69</f>
        <v>4978779.7700000005</v>
      </c>
      <c r="BV8" s="7">
        <f>'квітень 2025'!U69</f>
        <v>4984674.2299999995</v>
      </c>
      <c r="BW8" s="7">
        <f>'квітень 2025'!W69</f>
        <v>4977786.57</v>
      </c>
      <c r="BX8" s="7">
        <f>'квітень 2025'!Y69</f>
        <v>4977107.45</v>
      </c>
      <c r="BY8" s="7">
        <f>'квітень 2025'!AA69</f>
        <v>4988384.3499999996</v>
      </c>
      <c r="BZ8" s="7">
        <f>'квітень 2025'!AC69</f>
        <v>4956844.3200000012</v>
      </c>
      <c r="CA8" s="7">
        <f>'квітень 2025'!AE69</f>
        <v>4962984.1399999997</v>
      </c>
      <c r="CB8" s="7">
        <f>'квітень 2025'!AG69</f>
        <v>4965030.74</v>
      </c>
      <c r="CC8" s="7">
        <f>'квітень 2025'!AI69</f>
        <v>4967077.3499999996</v>
      </c>
      <c r="CD8" s="7">
        <f>'квітень 2025'!AK69</f>
        <v>4931623.9399999985</v>
      </c>
      <c r="CE8" s="7">
        <f>'квітень 2025'!AM69</f>
        <v>4933670.53</v>
      </c>
      <c r="CF8" s="7">
        <f>'квітень 2025'!AO69</f>
        <v>4886700.54</v>
      </c>
      <c r="CG8" s="7">
        <f>'квітень 2025'!AQ69</f>
        <v>4888747.13</v>
      </c>
      <c r="CH8" s="7">
        <f>'квітень 2025'!AS69</f>
        <v>5009189.4800000004</v>
      </c>
      <c r="CI8" s="7">
        <f>'травень 2025'!C68</f>
        <v>4882024.4200000009</v>
      </c>
      <c r="CJ8" s="7">
        <f>'травень 2025'!E68</f>
        <v>4884152.790000001</v>
      </c>
      <c r="CK8" s="7">
        <f>'травень 2025'!G68</f>
        <v>4890628.9200000009</v>
      </c>
      <c r="CL8" s="7">
        <f>'травень 2025'!I68</f>
        <v>4893734.8499999996</v>
      </c>
      <c r="CM8" s="7">
        <f>'травень 2025'!K68</f>
        <v>4894346.1600000011</v>
      </c>
      <c r="CN8" s="7">
        <f>'травень 2025'!M68</f>
        <v>4893422.4700000007</v>
      </c>
      <c r="CO8" s="7">
        <f>'травень 2025'!O68</f>
        <v>4895514.0600000015</v>
      </c>
      <c r="CP8" s="7">
        <f>'травень 2025'!Q68</f>
        <v>4901788.8099999996</v>
      </c>
      <c r="CQ8" s="7">
        <f>'травень 2025'!S68</f>
        <v>4903880.3900000006</v>
      </c>
      <c r="CR8" s="7">
        <f>'травень 2025'!U68</f>
        <v>4899869.5999999987</v>
      </c>
      <c r="CS8" s="7">
        <f>'травень 2025'!W68</f>
        <v>4901952.9899999993</v>
      </c>
      <c r="CT8" s="7">
        <f>'травень 2025'!Y68</f>
        <v>4904036.3899999997</v>
      </c>
      <c r="CU8" s="7">
        <f>'травень 2025'!AA68</f>
        <v>4882918.3400000008</v>
      </c>
      <c r="CV8" s="7">
        <f>'травень 2025'!AC68</f>
        <v>5007804.67</v>
      </c>
      <c r="CW8" s="7">
        <f>'травень 2025'!AE68</f>
        <v>5009888.0600000005</v>
      </c>
      <c r="CX8" s="7">
        <f>'травень 2025'!AG68</f>
        <v>5011971.4700000007</v>
      </c>
      <c r="CY8" s="7">
        <f>'травень 2025'!AI68</f>
        <v>4891251.97</v>
      </c>
      <c r="CZ8" s="7">
        <f>'травень 2025'!AK68</f>
        <v>4897502.18</v>
      </c>
      <c r="DA8" s="7">
        <f>'травень 2025'!AM68</f>
        <v>4895255.8</v>
      </c>
      <c r="DB8" s="7">
        <f>'травень 2025'!AO68</f>
        <v>4897358.28</v>
      </c>
      <c r="DC8" s="7">
        <f>'травень 2025'!AQ68</f>
        <v>4899505.7399999993</v>
      </c>
      <c r="DD8" s="7">
        <f>'травень 2025'!AS68</f>
        <v>4804976.5699999984</v>
      </c>
      <c r="DE8" s="7">
        <f>'травень 2025'!AU68</f>
        <v>4883134.07</v>
      </c>
      <c r="DF8" s="7">
        <f>'червень 2025'!C75</f>
        <v>4752061.5000000009</v>
      </c>
      <c r="DG8" s="7">
        <f>'червень 2025'!E75</f>
        <v>4754508.97</v>
      </c>
      <c r="DH8" s="7">
        <f>'червень 2025'!G75</f>
        <v>4758754.4099999992</v>
      </c>
      <c r="DI8" s="7">
        <f>'червень 2025'!I75</f>
        <v>4741349.49</v>
      </c>
      <c r="DJ8" s="7">
        <f>'червень 2025'!K75</f>
        <v>4742289.6599999992</v>
      </c>
      <c r="DK8" s="7">
        <f>'червень 2025'!M75</f>
        <v>4725294.21</v>
      </c>
      <c r="DL8" s="7">
        <f>'червень 2025'!O75</f>
        <v>4724839.29</v>
      </c>
      <c r="DM8" s="7">
        <f>'червень 2025'!Q75</f>
        <v>4728412.1399999987</v>
      </c>
      <c r="DN8" s="7">
        <f>'червень 2025'!S75</f>
        <v>4727957.1800000006</v>
      </c>
      <c r="DO8" s="7">
        <f>'червень 2025'!U75</f>
        <v>4729053.5999999996</v>
      </c>
      <c r="DP8" s="7">
        <f>'червень 2025'!W75</f>
        <v>4729669.55</v>
      </c>
      <c r="DQ8" s="7">
        <f>'червень 2025'!Y75</f>
        <v>4730765.9800000014</v>
      </c>
      <c r="DR8" s="7">
        <f>'червень 2025'!AA75</f>
        <v>4731778.1499999985</v>
      </c>
      <c r="DS8" s="7">
        <f>'червень 2025'!AC75</f>
        <v>4870410.38</v>
      </c>
      <c r="DT8" s="7">
        <f>'червень 2025'!AE75</f>
        <v>4973733.2700000005</v>
      </c>
      <c r="DU8" s="7">
        <f>'червень 2025'!AG75</f>
        <v>4836610.8999999994</v>
      </c>
      <c r="DV8" s="7">
        <f>'червень 2025'!AI75</f>
        <v>4844318.3599999994</v>
      </c>
      <c r="DW8" s="7">
        <f>'червень 2025'!AK75</f>
        <v>4846733.37</v>
      </c>
      <c r="DX8" s="7">
        <f>'червень 2025'!AM75</f>
        <v>4850833.3499999996</v>
      </c>
      <c r="DY8" s="7">
        <f>'червень 2025'!AO75</f>
        <v>4842899.0599999996</v>
      </c>
      <c r="DZ8" s="7">
        <f>'червень 2025'!AQ75</f>
        <v>4929811.47</v>
      </c>
      <c r="EA8" s="576">
        <f>липень2025!C75</f>
        <v>4841980.5700000022</v>
      </c>
      <c r="EB8" s="7">
        <f>липень2025!E75</f>
        <v>4846096.1300000008</v>
      </c>
      <c r="EC8" s="7">
        <f>липень2025!G75</f>
        <v>4859132.54</v>
      </c>
      <c r="ED8" s="7">
        <f>липень2025!I75</f>
        <v>4861376.660000002</v>
      </c>
      <c r="EE8" s="7">
        <f>липень2025!K75</f>
        <v>4867898.9999999991</v>
      </c>
      <c r="EF8" s="7">
        <f>липень2025!M75</f>
        <v>4846327.8999999994</v>
      </c>
      <c r="EG8" s="7">
        <f>липень2025!O75</f>
        <v>4851626.3099999987</v>
      </c>
      <c r="EH8" s="576">
        <f>липень2025!Q75</f>
        <v>4853947.2999999989</v>
      </c>
      <c r="EI8" s="576">
        <f>липень2025!S75</f>
        <v>4854143.33</v>
      </c>
      <c r="EJ8" s="576">
        <f>липень2025!U75</f>
        <v>4861106.3099999977</v>
      </c>
      <c r="EK8" s="576">
        <f>липень2025!W75</f>
        <v>4846171.58</v>
      </c>
      <c r="EL8" s="576">
        <f>липень2025!Y75</f>
        <v>4828278.8</v>
      </c>
      <c r="EM8" s="576">
        <f>липень2025!AA75</f>
        <v>4731292.3899999997</v>
      </c>
      <c r="EN8" s="576">
        <f>липень2025!AC75</f>
        <v>4733814.1700000009</v>
      </c>
      <c r="EO8" s="576">
        <f>липень2025!AE75</f>
        <v>4741379.4800000004</v>
      </c>
      <c r="EP8" s="576">
        <f>липень2025!AG75</f>
        <v>4707008.5599999996</v>
      </c>
      <c r="EQ8" s="576">
        <f>липень2025!AI75</f>
        <v>4709530.3299999991</v>
      </c>
      <c r="ER8" s="576">
        <f>липень2025!AK75</f>
        <v>4712031.2699999977</v>
      </c>
      <c r="ES8" s="576">
        <f>липень2025!AM75</f>
        <v>4714532.1399999978</v>
      </c>
      <c r="ET8" s="576">
        <f>липень2025!AO75</f>
        <v>4711812.2899999972</v>
      </c>
      <c r="EU8" s="576">
        <f>липень2025!AQ75</f>
        <v>4714313.1899999976</v>
      </c>
      <c r="EV8" s="576">
        <f>липень2025!AS75</f>
        <v>4564812.6399999987</v>
      </c>
      <c r="EW8" s="576">
        <f>липень2025!AU75</f>
        <v>4662603.6899999995</v>
      </c>
      <c r="EX8" s="576">
        <f>серпень2025!C77</f>
        <v>4545115.59</v>
      </c>
      <c r="EY8" s="576">
        <f>серпень2025!E77</f>
        <v>4551109.5</v>
      </c>
      <c r="EZ8" s="576">
        <f>серпень2025!G77</f>
        <v>4553107.4600000009</v>
      </c>
      <c r="FA8" s="576">
        <f>серпень2025!I77</f>
        <v>4558883.5400000019</v>
      </c>
      <c r="FB8" s="576">
        <f>серпень2025!K77</f>
        <v>4560116.99</v>
      </c>
      <c r="FC8" s="576">
        <f>серпень2025!M77</f>
        <v>4538703.4300000006</v>
      </c>
      <c r="FD8" s="576">
        <f>серпень2025!O77</f>
        <v>4392700.97</v>
      </c>
      <c r="FE8" s="576">
        <f>серпень2025!Q77</f>
        <v>4394614.0999999987</v>
      </c>
      <c r="FF8" s="576">
        <f>серпень2025!S77</f>
        <v>4397406.51</v>
      </c>
      <c r="FG8" s="576">
        <f>серпень2025!U77</f>
        <v>4403598.72</v>
      </c>
      <c r="FH8" s="576">
        <f>серпень2025!W77</f>
        <v>4406391.1499999994</v>
      </c>
      <c r="FI8" s="576">
        <f>серпень2025!Y77</f>
        <v>4413907.66</v>
      </c>
      <c r="FJ8" s="576">
        <f>серпень2025!AA77</f>
        <v>4440197.9600000009</v>
      </c>
      <c r="FK8" s="576">
        <f>серпень2025!AC77</f>
        <v>4537255.2999999989</v>
      </c>
      <c r="FL8" s="576">
        <f>серпень2025!AE77</f>
        <v>4540054.2300000014</v>
      </c>
      <c r="FM8" s="576">
        <f>серпень2025!AG77</f>
        <v>4420050.3</v>
      </c>
      <c r="FN8" s="576">
        <f>серпень2025!AI77</f>
        <v>4428447.18</v>
      </c>
      <c r="FO8" s="576">
        <f>серпень2025!AK77</f>
        <v>4431246.17</v>
      </c>
      <c r="FP8" s="576">
        <f>серпень2025!AM77</f>
        <v>8190049.2500000009</v>
      </c>
      <c r="FQ8" s="576">
        <f>серпень2025!AO77</f>
        <v>8192847.4200000009</v>
      </c>
      <c r="FR8" s="576">
        <f>серпень2025!AQ77</f>
        <v>8211504.3599999985</v>
      </c>
      <c r="FS8" s="576">
        <f>серпень2025!AS77</f>
        <v>8295360.8799999999</v>
      </c>
      <c r="FT8" s="576">
        <f>вересень2025!C77</f>
        <v>8070567.3600000022</v>
      </c>
      <c r="FU8" s="576">
        <f>вересень2025!E77</f>
        <v>8070125.620000001</v>
      </c>
      <c r="FV8" s="576">
        <f>вересень2025!G77</f>
        <v>8069383.910000002</v>
      </c>
      <c r="FW8" s="576">
        <f>вересень2025!I77</f>
        <v>8068661.8099999996</v>
      </c>
      <c r="FX8" s="576">
        <f>вересень2025!K77</f>
        <v>8067939.6900000013</v>
      </c>
      <c r="FY8" s="576">
        <f>вересень2025!M77</f>
        <v>8052520.6499999994</v>
      </c>
      <c r="FZ8" s="576">
        <f>вересень2025!O77</f>
        <v>7765458.6599999992</v>
      </c>
      <c r="GA8" s="576">
        <f>вересень2025!Q77</f>
        <v>7769528.879999999</v>
      </c>
      <c r="GB8" s="576">
        <f>вересень2025!S77</f>
        <v>7768190.5199999986</v>
      </c>
      <c r="GC8" s="576">
        <f>вересень2025!U77</f>
        <v>7767712.9799999995</v>
      </c>
      <c r="GD8" s="576">
        <f>вересень2025!W77</f>
        <v>7764935.7700000005</v>
      </c>
      <c r="GE8" s="576">
        <f>вересень2025!Y77</f>
        <v>7764458.1899999985</v>
      </c>
      <c r="GF8" s="576">
        <f>вересень2025!AA77</f>
        <v>7732369.0399999991</v>
      </c>
      <c r="GG8" s="576">
        <f>вересень2025!AC77</f>
        <v>7732079.2899999991</v>
      </c>
      <c r="GH8" s="576">
        <f>вересень2025!AE77</f>
        <v>7731789.5199999977</v>
      </c>
      <c r="GI8" s="576">
        <f>вересень2025!AG77</f>
        <v>7730920.2599999988</v>
      </c>
      <c r="GJ8" s="576">
        <f>вересень2025!AI77</f>
        <v>7730630.5</v>
      </c>
      <c r="GK8" s="576">
        <f>вересень2025!AK77</f>
        <v>7738550.7499999972</v>
      </c>
      <c r="GL8" s="576">
        <f>вересень2025!AM77</f>
        <v>7738253.9399999985</v>
      </c>
      <c r="GM8" s="576">
        <f>вересень2025!AO77</f>
        <v>7658537.4700000007</v>
      </c>
      <c r="GN8" s="576">
        <f>вересень2025!AQ77</f>
        <v>7647083.7399999974</v>
      </c>
      <c r="GO8" s="576">
        <f>вересень2025!AS77</f>
        <v>7729586.709999999</v>
      </c>
      <c r="GP8" s="576">
        <f>'жовтень 2025'!C74</f>
        <v>7603583.0099999998</v>
      </c>
      <c r="GQ8" s="576">
        <f>'жовтень 2025'!E74</f>
        <v>7603558.830000001</v>
      </c>
      <c r="GR8" s="576">
        <f>'жовтень 2025'!G74</f>
        <v>7603234.629999999</v>
      </c>
      <c r="GS8" s="576">
        <f>'жовтень 2025'!I74</f>
        <v>7602232.0500000007</v>
      </c>
      <c r="GT8" s="576">
        <f>'жовтень 2025'!K74</f>
        <v>7581503.54</v>
      </c>
      <c r="GU8" s="576">
        <f>'жовтень 2025'!M74</f>
        <v>7581179.3299999991</v>
      </c>
      <c r="GV8" s="576">
        <f>'жовтень 2025'!O74</f>
        <v>7580855.169999999</v>
      </c>
      <c r="GW8" s="576">
        <f>'жовтень 2025'!Q74</f>
        <v>7522679.2199999988</v>
      </c>
      <c r="GX8" s="576">
        <f>'жовтень 2025'!S74</f>
        <v>7521706.6499999994</v>
      </c>
      <c r="GY8" s="576">
        <f>'жовтень 2025'!U74</f>
        <v>7529859.9099999983</v>
      </c>
      <c r="GZ8" s="576">
        <f>'жовтень 2025'!W74</f>
        <v>7528900.0999999996</v>
      </c>
      <c r="HA8" s="576">
        <f>'жовтень 2025'!Y74</f>
        <v>7528595.5199999977</v>
      </c>
      <c r="HB8" s="576">
        <f>'жовтень 2025'!AA74</f>
        <v>7528290.9400000004</v>
      </c>
      <c r="HC8" s="576">
        <f>'жовтень 2025'!AC74</f>
        <v>7527377.2700000005</v>
      </c>
      <c r="HD8" s="576">
        <f>'жовтень 2025'!AE74</f>
        <v>7527072.669999999</v>
      </c>
      <c r="HE8" s="576">
        <f>'жовтень 2025'!AG74</f>
        <v>7526765.7000000002</v>
      </c>
      <c r="HF8" s="576">
        <f>'жовтень 2025'!AI74</f>
        <v>7450041.7700000014</v>
      </c>
      <c r="HG8" s="576">
        <f>'жовтень 2025'!AK74</f>
        <v>7457191.7399999993</v>
      </c>
      <c r="HH8" s="576">
        <f>'жовтень 2025'!AM74</f>
        <v>7446048.1000000015</v>
      </c>
      <c r="HI8" s="576">
        <f>'жовтень 2025'!AO74</f>
        <v>7445741.0799999991</v>
      </c>
      <c r="HJ8" s="576">
        <f>'жовтень 2025'!AQ74</f>
        <v>7445434.0599999987</v>
      </c>
      <c r="HK8" s="576">
        <f>'жовтень 2025'!AS74</f>
        <v>7445127.0700000003</v>
      </c>
    </row>
    <row r="9" spans="1:219" ht="19.5" customHeight="1">
      <c r="A9" s="8" t="s">
        <v>6</v>
      </c>
      <c r="B9" s="352">
        <f t="shared" ref="B9:AG9" si="9">SUM(B10:B14)</f>
        <v>559740.55000000005</v>
      </c>
      <c r="C9" s="352">
        <f t="shared" si="9"/>
        <v>54371.320000000007</v>
      </c>
      <c r="D9" s="352">
        <f t="shared" si="9"/>
        <v>108912.75</v>
      </c>
      <c r="E9" s="352">
        <f t="shared" si="9"/>
        <v>125888.05999999998</v>
      </c>
      <c r="F9" s="352">
        <f t="shared" si="9"/>
        <v>141902.10999999999</v>
      </c>
      <c r="G9" s="352">
        <f t="shared" si="9"/>
        <v>157902.43999999997</v>
      </c>
      <c r="H9" s="352">
        <f t="shared" si="9"/>
        <v>173913.40999999997</v>
      </c>
      <c r="I9" s="352">
        <f t="shared" si="9"/>
        <v>228530.76</v>
      </c>
      <c r="J9" s="352">
        <f t="shared" si="9"/>
        <v>243254.61000000002</v>
      </c>
      <c r="K9" s="352">
        <f t="shared" si="9"/>
        <v>257658.83</v>
      </c>
      <c r="L9" s="352">
        <f t="shared" si="9"/>
        <v>274175.43</v>
      </c>
      <c r="M9" s="352">
        <f t="shared" si="9"/>
        <v>290170.07999999996</v>
      </c>
      <c r="N9" s="352">
        <f t="shared" si="9"/>
        <v>338186.7</v>
      </c>
      <c r="O9" s="352">
        <f t="shared" si="9"/>
        <v>350596.87000000005</v>
      </c>
      <c r="P9" s="352">
        <f t="shared" si="9"/>
        <v>366625.50000000006</v>
      </c>
      <c r="Q9" s="352">
        <f t="shared" si="9"/>
        <v>382661.18000000005</v>
      </c>
      <c r="R9" s="352">
        <f t="shared" si="9"/>
        <v>398703.26</v>
      </c>
      <c r="S9" s="352">
        <f t="shared" si="9"/>
        <v>446836.21000000008</v>
      </c>
      <c r="T9" s="352">
        <f t="shared" si="9"/>
        <v>462913.25000000012</v>
      </c>
      <c r="U9" s="352">
        <f t="shared" si="9"/>
        <v>478932.70000000013</v>
      </c>
      <c r="V9" s="352">
        <f t="shared" si="9"/>
        <v>494984.70000000007</v>
      </c>
      <c r="W9" s="352">
        <f t="shared" si="9"/>
        <v>635211.8600000001</v>
      </c>
      <c r="X9" s="352">
        <f t="shared" si="9"/>
        <v>683488.00000000012</v>
      </c>
      <c r="Y9" s="352">
        <f t="shared" si="9"/>
        <v>699582.20000000007</v>
      </c>
      <c r="Z9" s="352">
        <f t="shared" si="9"/>
        <v>169157.06</v>
      </c>
      <c r="AA9" s="352">
        <f t="shared" si="9"/>
        <v>185250.24</v>
      </c>
      <c r="AB9" s="352">
        <f t="shared" si="9"/>
        <v>210875.17</v>
      </c>
      <c r="AC9" s="352">
        <f t="shared" si="9"/>
        <v>259169.89</v>
      </c>
      <c r="AD9" s="352">
        <f t="shared" si="9"/>
        <v>275247.94999999995</v>
      </c>
      <c r="AE9" s="352">
        <f t="shared" si="9"/>
        <v>220406.96000000002</v>
      </c>
      <c r="AF9" s="352">
        <f t="shared" si="9"/>
        <v>236471.22000000003</v>
      </c>
      <c r="AG9" s="352">
        <f t="shared" si="9"/>
        <v>248833.88</v>
      </c>
      <c r="AH9" s="352">
        <f t="shared" ref="AH9:BL9" si="10">SUM(AH10:AH14)</f>
        <v>297080.03000000003</v>
      </c>
      <c r="AI9" s="352">
        <f t="shared" si="10"/>
        <v>313170.95000000007</v>
      </c>
      <c r="AJ9" s="352">
        <f t="shared" si="10"/>
        <v>329231.90000000002</v>
      </c>
      <c r="AK9" s="352">
        <f t="shared" si="10"/>
        <v>345328.47000000009</v>
      </c>
      <c r="AL9" s="352">
        <f t="shared" si="10"/>
        <v>361426.14</v>
      </c>
      <c r="AM9" s="352">
        <f t="shared" si="10"/>
        <v>409712.44999999995</v>
      </c>
      <c r="AN9" s="352">
        <f t="shared" si="10"/>
        <v>415381.89999999997</v>
      </c>
      <c r="AO9" s="352">
        <f t="shared" si="10"/>
        <v>431468.69999999995</v>
      </c>
      <c r="AP9" s="352">
        <f t="shared" si="10"/>
        <v>448016.64999999997</v>
      </c>
      <c r="AQ9" s="352">
        <f t="shared" si="10"/>
        <v>572656.19999999995</v>
      </c>
      <c r="AR9" s="352">
        <f t="shared" si="10"/>
        <v>620883.28999999992</v>
      </c>
      <c r="AS9" s="352">
        <f t="shared" si="10"/>
        <v>636482.04999999993</v>
      </c>
      <c r="AT9" s="352">
        <f t="shared" si="10"/>
        <v>90849.599999999991</v>
      </c>
      <c r="AU9" s="352">
        <f t="shared" si="10"/>
        <v>106940.12999999999</v>
      </c>
      <c r="AV9" s="352">
        <f t="shared" si="10"/>
        <v>130106.37000000001</v>
      </c>
      <c r="AW9" s="352">
        <f t="shared" si="10"/>
        <v>178424.89999999997</v>
      </c>
      <c r="AX9" s="352">
        <f t="shared" si="10"/>
        <v>195248.05999999997</v>
      </c>
      <c r="AY9" s="352">
        <f t="shared" si="10"/>
        <v>211339.63999999996</v>
      </c>
      <c r="AZ9" s="352">
        <f t="shared" si="10"/>
        <v>217798.16999999998</v>
      </c>
      <c r="BA9" s="352">
        <f t="shared" si="10"/>
        <v>233921.88</v>
      </c>
      <c r="BB9" s="352">
        <f t="shared" si="10"/>
        <v>286404.94000000006</v>
      </c>
      <c r="BC9" s="352">
        <f t="shared" si="10"/>
        <v>302531.91000000003</v>
      </c>
      <c r="BD9" s="352">
        <f t="shared" si="10"/>
        <v>318629.15000000002</v>
      </c>
      <c r="BE9" s="352">
        <f t="shared" si="10"/>
        <v>334711.36</v>
      </c>
      <c r="BF9" s="352">
        <f t="shared" si="10"/>
        <v>350844.32999999996</v>
      </c>
      <c r="BG9" s="352">
        <f t="shared" si="10"/>
        <v>399249.41000000003</v>
      </c>
      <c r="BH9" s="352">
        <f t="shared" si="10"/>
        <v>415399.49199999997</v>
      </c>
      <c r="BI9" s="352">
        <f t="shared" si="10"/>
        <v>437122.04000000004</v>
      </c>
      <c r="BJ9" s="352">
        <f t="shared" si="10"/>
        <v>447642.06000000006</v>
      </c>
      <c r="BK9" s="352">
        <f t="shared" si="10"/>
        <v>463782.82</v>
      </c>
      <c r="BL9" s="352">
        <f t="shared" si="10"/>
        <v>627519.06000000006</v>
      </c>
      <c r="BM9" s="352">
        <f t="shared" ref="BM9:BN9" si="11">SUM(BM10:BM14)</f>
        <v>643643.41</v>
      </c>
      <c r="BN9" s="352">
        <f t="shared" si="11"/>
        <v>544754.12</v>
      </c>
      <c r="BO9" s="352">
        <f t="shared" ref="BO9:BP9" si="12">SUM(BO10:BO14)</f>
        <v>61384.82</v>
      </c>
      <c r="BP9" s="352">
        <f t="shared" si="12"/>
        <v>77495.94</v>
      </c>
      <c r="BQ9" s="352">
        <f t="shared" ref="BQ9:BS9" si="13">SUM(BQ10:BQ14)</f>
        <v>132886.28</v>
      </c>
      <c r="BR9" s="708">
        <f t="shared" si="13"/>
        <v>149448.75</v>
      </c>
      <c r="BS9" s="711">
        <f t="shared" si="13"/>
        <v>165576.19</v>
      </c>
      <c r="BT9" s="711">
        <f t="shared" ref="BT9:BU9" si="14">SUM(BT10:BT14)</f>
        <v>181706.2</v>
      </c>
      <c r="BU9" s="711">
        <f t="shared" si="14"/>
        <v>197843.39</v>
      </c>
      <c r="BV9" s="711">
        <f t="shared" ref="BV9:BW9" si="15">SUM(BV10:BV14)</f>
        <v>246249.59999999998</v>
      </c>
      <c r="BW9" s="711">
        <f t="shared" si="15"/>
        <v>253531.74</v>
      </c>
      <c r="BX9" s="711">
        <f t="shared" ref="BX9:BY9" si="16">SUM(BX10:BX14)</f>
        <v>274500.26</v>
      </c>
      <c r="BY9" s="711">
        <f t="shared" si="16"/>
        <v>286249.63</v>
      </c>
      <c r="BZ9" s="711">
        <f t="shared" ref="BZ9:CA9" si="17">SUM(BZ10:BZ14)</f>
        <v>302418.71000000002</v>
      </c>
      <c r="CA9" s="711">
        <f t="shared" si="17"/>
        <v>350939.97000000003</v>
      </c>
      <c r="CB9" s="711">
        <f t="shared" ref="CB9:CC9" si="18">SUM(CB10:CB14)</f>
        <v>367109.79000000004</v>
      </c>
      <c r="CC9" s="711">
        <f t="shared" si="18"/>
        <v>383281.81000000006</v>
      </c>
      <c r="CD9" s="711">
        <f t="shared" ref="CD9:CE9" si="19">SUM(CD10:CD14)</f>
        <v>436941.89999999997</v>
      </c>
      <c r="CE9" s="711">
        <f t="shared" si="19"/>
        <v>453096.49</v>
      </c>
      <c r="CF9" s="711">
        <f t="shared" ref="CF9:CG9" si="20">SUM(CF10:CF14)</f>
        <v>501568.32000000012</v>
      </c>
      <c r="CG9" s="711">
        <f t="shared" si="20"/>
        <v>517703.95000000007</v>
      </c>
      <c r="CH9" s="711">
        <f t="shared" ref="CH9:CI9" si="21">SUM(CH10:CH14)</f>
        <v>574257.54</v>
      </c>
      <c r="CI9" s="711">
        <f t="shared" si="21"/>
        <v>590404.29</v>
      </c>
      <c r="CJ9" s="711">
        <f t="shared" ref="CJ9:CK9" si="22">SUM(CJ10:CJ14)</f>
        <v>606528.30000000005</v>
      </c>
      <c r="CK9" s="711">
        <f t="shared" si="22"/>
        <v>618780.8600000001</v>
      </c>
      <c r="CL9" s="711">
        <f t="shared" ref="CL9:CM9" si="23">SUM(CL10:CL14)</f>
        <v>105594.16</v>
      </c>
      <c r="CM9" s="711">
        <f t="shared" si="23"/>
        <v>126566.43999999999</v>
      </c>
      <c r="CN9" s="711">
        <f t="shared" ref="CN9:CO9" si="24">SUM(CN10:CN14)</f>
        <v>149274.5</v>
      </c>
      <c r="CO9" s="711">
        <f t="shared" si="24"/>
        <v>165485.05999999997</v>
      </c>
      <c r="CP9" s="711">
        <f t="shared" ref="CP9:CQ9" si="25">SUM(CP10:CP14)</f>
        <v>214116.97</v>
      </c>
      <c r="CQ9" s="711">
        <f t="shared" si="25"/>
        <v>230312.45999999996</v>
      </c>
      <c r="CR9" s="711">
        <f t="shared" ref="CR9:CS9" si="26">SUM(CR10:CR14)</f>
        <v>237370.55999999994</v>
      </c>
      <c r="CS9" s="711">
        <f t="shared" si="26"/>
        <v>253549.51</v>
      </c>
      <c r="CT9" s="711">
        <f t="shared" ref="CT9:CU9" si="27">SUM(CT10:CT14)</f>
        <v>269717.26999999996</v>
      </c>
      <c r="CU9" s="711">
        <f t="shared" si="27"/>
        <v>318234.78999999998</v>
      </c>
      <c r="CV9" s="711">
        <f t="shared" ref="CV9:CW9" si="28">SUM(CV10:CV14)</f>
        <v>334448.2</v>
      </c>
      <c r="CW9" s="711">
        <f t="shared" si="28"/>
        <v>350670.33</v>
      </c>
      <c r="CX9" s="711">
        <f t="shared" ref="CX9:CY9" si="29">SUM(CX10:CX14)</f>
        <v>366884.08</v>
      </c>
      <c r="CY9" s="711">
        <f t="shared" si="29"/>
        <v>383099.33</v>
      </c>
      <c r="CZ9" s="711">
        <f t="shared" ref="CZ9:DA9" si="30">SUM(CZ10:CZ14)</f>
        <v>431725.16</v>
      </c>
      <c r="DA9" s="711">
        <f t="shared" si="30"/>
        <v>447943.97</v>
      </c>
      <c r="DB9" s="711">
        <f t="shared" ref="DB9:DC9" si="31">SUM(DB10:DB14)</f>
        <v>464143.68</v>
      </c>
      <c r="DC9" s="711">
        <f t="shared" si="31"/>
        <v>480352.03</v>
      </c>
      <c r="DD9" s="711">
        <f t="shared" ref="DD9:DE9" si="32">SUM(DD10:DD14)</f>
        <v>496583.1</v>
      </c>
      <c r="DE9" s="711">
        <f t="shared" si="32"/>
        <v>548237.76</v>
      </c>
      <c r="DF9" s="711">
        <f t="shared" ref="DF9:DG9" si="33">SUM(DF10:DF14)</f>
        <v>580720.52</v>
      </c>
      <c r="DG9" s="711">
        <f t="shared" si="33"/>
        <v>554316.37</v>
      </c>
      <c r="DH9" s="711">
        <f t="shared" ref="DH9:DI9" si="34">SUM(DH10:DH14)</f>
        <v>68921.47</v>
      </c>
      <c r="DI9" s="711">
        <f t="shared" si="34"/>
        <v>85140.41</v>
      </c>
      <c r="DJ9" s="711">
        <f t="shared" ref="DJ9:DK9" si="35">SUM(DJ10:DJ14)</f>
        <v>107901.38</v>
      </c>
      <c r="DK9" s="711">
        <f t="shared" si="35"/>
        <v>161435.28</v>
      </c>
      <c r="DL9" s="711">
        <f t="shared" ref="DL9:DM9" si="36">SUM(DL10:DL14)</f>
        <v>177632.31000000003</v>
      </c>
      <c r="DM9" s="711">
        <f t="shared" si="36"/>
        <v>192157.12999999998</v>
      </c>
      <c r="DN9" s="711">
        <f t="shared" ref="DN9:DO9" si="37">SUM(DN10:DN14)</f>
        <v>208370.03999999998</v>
      </c>
      <c r="DO9" s="711">
        <f t="shared" si="37"/>
        <v>224559.8</v>
      </c>
      <c r="DP9" s="711">
        <f t="shared" ref="DP9:DQ9" si="38">SUM(DP10:DP14)</f>
        <v>270461.37</v>
      </c>
      <c r="DQ9" s="711">
        <f t="shared" si="38"/>
        <v>286686.77</v>
      </c>
      <c r="DR9" s="711">
        <f t="shared" ref="DR9:DS9" si="39">SUM(DR10:DR14)</f>
        <v>302914.11000000004</v>
      </c>
      <c r="DS9" s="711">
        <f t="shared" si="39"/>
        <v>319099.73</v>
      </c>
      <c r="DT9" s="711">
        <f t="shared" ref="DT9:DU9" si="40">SUM(DT10:DT14)</f>
        <v>335310.28000000003</v>
      </c>
      <c r="DU9" s="711">
        <f t="shared" si="40"/>
        <v>383962.63999999996</v>
      </c>
      <c r="DV9" s="711">
        <f t="shared" ref="DV9:DW9" si="41">SUM(DV10:DV14)</f>
        <v>400190.49</v>
      </c>
      <c r="DW9" s="711">
        <f t="shared" si="41"/>
        <v>416421.68</v>
      </c>
      <c r="DX9" s="711">
        <f t="shared" ref="DX9:DY9" si="42">SUM(DX10:DX14)</f>
        <v>432780.8299999999</v>
      </c>
      <c r="DY9" s="711">
        <f t="shared" si="42"/>
        <v>448995.92999999993</v>
      </c>
      <c r="DZ9" s="711">
        <f t="shared" ref="DZ9:EA9" si="43">SUM(DZ10:DZ14)</f>
        <v>535837.15999999992</v>
      </c>
      <c r="EA9" s="711">
        <f t="shared" si="43"/>
        <v>552084.1</v>
      </c>
      <c r="EB9" s="711">
        <f t="shared" ref="EB9:EC9" si="44">SUM(EB10:EB14)</f>
        <v>521835.01999999996</v>
      </c>
      <c r="EC9" s="711">
        <f t="shared" si="44"/>
        <v>51480.469999999994</v>
      </c>
      <c r="ED9" s="711">
        <f t="shared" ref="ED9:EE9" si="45">SUM(ED10:ED14)</f>
        <v>67723.259999999995</v>
      </c>
      <c r="EE9" s="711">
        <f t="shared" si="45"/>
        <v>116424.47</v>
      </c>
      <c r="EF9" s="711">
        <f t="shared" ref="EF9:EG9" si="46">SUM(EF10:EF14)</f>
        <v>137456.24</v>
      </c>
      <c r="EG9" s="711">
        <f t="shared" si="46"/>
        <v>159866.23000000001</v>
      </c>
      <c r="EH9" s="711">
        <f t="shared" ref="EH9:EI9" si="47">SUM(EH10:EH14)</f>
        <v>176112.92</v>
      </c>
      <c r="EI9" s="711">
        <f t="shared" si="47"/>
        <v>190224.87000000002</v>
      </c>
      <c r="EJ9" s="711">
        <f t="shared" ref="EJ9:EK9" si="48">SUM(EJ10:EJ14)</f>
        <v>238955.92</v>
      </c>
      <c r="EK9" s="711">
        <f t="shared" si="48"/>
        <v>255201.11000000002</v>
      </c>
      <c r="EL9" s="711">
        <f t="shared" ref="EL9:EM9" si="49">SUM(EL10:EL14)</f>
        <v>271121.74</v>
      </c>
      <c r="EM9" s="711">
        <f t="shared" si="49"/>
        <v>287335.75</v>
      </c>
      <c r="EN9" s="711">
        <f t="shared" ref="EN9:EO9" si="50">SUM(EN10:EN14)</f>
        <v>303563.41000000003</v>
      </c>
      <c r="EO9" s="711">
        <f t="shared" si="50"/>
        <v>352252.57</v>
      </c>
      <c r="EP9" s="711">
        <f t="shared" ref="EP9:EQ9" si="51">SUM(EP10:EP14)</f>
        <v>368128.35000000003</v>
      </c>
      <c r="EQ9" s="711">
        <f t="shared" si="51"/>
        <v>384358.3</v>
      </c>
      <c r="ER9" s="711">
        <f t="shared" ref="ER9:ES9" si="52">SUM(ER10:ER14)</f>
        <v>401081.04000000004</v>
      </c>
      <c r="ES9" s="711">
        <f t="shared" si="52"/>
        <v>417318.08999999997</v>
      </c>
      <c r="ET9" s="711">
        <f t="shared" ref="ET9:EU9" si="53">SUM(ET10:ET14)</f>
        <v>466046.09</v>
      </c>
      <c r="EU9" s="711">
        <f t="shared" si="53"/>
        <v>481781.66000000003</v>
      </c>
      <c r="EV9" s="711">
        <f t="shared" ref="EV9:EW9" si="54">SUM(EV10:EV14)</f>
        <v>498021.31</v>
      </c>
      <c r="EW9" s="711">
        <f t="shared" si="54"/>
        <v>571971.23</v>
      </c>
      <c r="EX9" s="711">
        <f t="shared" ref="EX9:EY9" si="55">SUM(EX10:EX14)</f>
        <v>588227.61</v>
      </c>
      <c r="EY9" s="711">
        <f t="shared" si="55"/>
        <v>637018.22</v>
      </c>
      <c r="EZ9" s="711">
        <f t="shared" ref="EZ9:FA9" si="56">SUM(EZ10:EZ14)</f>
        <v>653306.5199999999</v>
      </c>
      <c r="FA9" s="711">
        <f t="shared" si="56"/>
        <v>112447.35</v>
      </c>
      <c r="FB9" s="711">
        <f t="shared" ref="FB9:FC9" si="57">SUM(FB10:FB14)</f>
        <v>128744.09000000001</v>
      </c>
      <c r="FC9" s="711">
        <f t="shared" si="57"/>
        <v>145017.99</v>
      </c>
      <c r="FD9" s="711">
        <f t="shared" ref="FD9:FE9" si="58">SUM(FD10:FD14)</f>
        <v>191140.65</v>
      </c>
      <c r="FE9" s="711">
        <f t="shared" si="58"/>
        <v>207421.12</v>
      </c>
      <c r="FF9" s="711">
        <f t="shared" ref="FF9:FG9" si="59">SUM(FF10:FF14)</f>
        <v>223738.42</v>
      </c>
      <c r="FG9" s="711">
        <f t="shared" si="59"/>
        <v>234553.59</v>
      </c>
      <c r="FH9" s="711">
        <f t="shared" ref="FH9:FI9" si="60">SUM(FH10:FH14)</f>
        <v>250875.23</v>
      </c>
      <c r="FI9" s="711">
        <f t="shared" si="60"/>
        <v>303946.32</v>
      </c>
      <c r="FJ9" s="711">
        <f t="shared" ref="FJ9:FK9" si="61">SUM(FJ10:FJ14)</f>
        <v>320257.54999999993</v>
      </c>
      <c r="FK9" s="711">
        <f t="shared" si="61"/>
        <v>336577.73</v>
      </c>
      <c r="FL9" s="711">
        <f t="shared" ref="FL9:FM9" si="62">SUM(FL10:FL14)</f>
        <v>352901.06</v>
      </c>
      <c r="FM9" s="711">
        <f t="shared" si="62"/>
        <v>369227.74</v>
      </c>
      <c r="FN9" s="711">
        <f t="shared" ref="FN9:FO9" si="63">SUM(FN10:FN14)</f>
        <v>418209.62999999995</v>
      </c>
      <c r="FO9" s="711">
        <f t="shared" si="63"/>
        <v>434551.69999999995</v>
      </c>
      <c r="FP9" s="711">
        <f t="shared" ref="FP9:FQ9" si="64">SUM(FP10:FP14)</f>
        <v>450892.37</v>
      </c>
      <c r="FQ9" s="711">
        <f t="shared" si="64"/>
        <v>467208.00999999995</v>
      </c>
      <c r="FR9" s="711">
        <f t="shared" ref="FR9:FS9" si="65">SUM(FR10:FR14)</f>
        <v>483560.42</v>
      </c>
      <c r="FS9" s="711">
        <f t="shared" si="65"/>
        <v>561086.84</v>
      </c>
      <c r="FT9" s="711">
        <f t="shared" ref="FT9:FU9" si="66">SUM(FT10:FT14)</f>
        <v>577444.9</v>
      </c>
      <c r="FU9" s="711">
        <f t="shared" si="66"/>
        <v>538836.36</v>
      </c>
      <c r="FV9" s="711">
        <f t="shared" ref="FV9:FW9" si="67">SUM(FV10:FV14)</f>
        <v>49651.259999999995</v>
      </c>
      <c r="FW9" s="711">
        <f t="shared" si="67"/>
        <v>66004.89</v>
      </c>
      <c r="FX9" s="711">
        <f t="shared" ref="FX9:FY9" si="68">SUM(FX10:FX14)</f>
        <v>82359.89</v>
      </c>
      <c r="FY9" s="711">
        <f t="shared" si="68"/>
        <v>131427.99000000002</v>
      </c>
      <c r="FZ9" s="711">
        <f t="shared" ref="FZ9:GA9" si="69">SUM(FZ10:FZ14)</f>
        <v>147982.60999999999</v>
      </c>
      <c r="GA9" s="711">
        <f t="shared" si="69"/>
        <v>164783.61999999997</v>
      </c>
      <c r="GB9" s="711">
        <f t="shared" ref="GB9:GC9" si="70">SUM(GB10:GB14)</f>
        <v>185258.51</v>
      </c>
      <c r="GC9" s="711">
        <f t="shared" si="70"/>
        <v>201611.73</v>
      </c>
      <c r="GD9" s="711">
        <f t="shared" ref="GD9:GE9" si="71">SUM(GD10:GD14)</f>
        <v>256755.53999999995</v>
      </c>
      <c r="GE9" s="711">
        <f t="shared" si="71"/>
        <v>273116.20999999996</v>
      </c>
      <c r="GF9" s="711">
        <f t="shared" ref="GF9:GG9" si="72">SUM(GF10:GF14)</f>
        <v>288631.14999999997</v>
      </c>
      <c r="GG9" s="711">
        <f t="shared" si="72"/>
        <v>305006.98</v>
      </c>
      <c r="GH9" s="711">
        <f t="shared" ref="GH9:GI9" si="73">SUM(GH10:GH14)</f>
        <v>321366.49000000005</v>
      </c>
      <c r="GI9" s="711">
        <f t="shared" si="73"/>
        <v>370462.37</v>
      </c>
      <c r="GJ9" s="711">
        <f t="shared" ref="GJ9:GK9" si="74">SUM(GJ10:GJ14)</f>
        <v>386814.33</v>
      </c>
      <c r="GK9" s="711">
        <f t="shared" si="74"/>
        <v>416130.64999999997</v>
      </c>
      <c r="GL9" s="711">
        <f t="shared" ref="GL9:GM9" si="75">SUM(GL10:GL14)</f>
        <v>420504.69000000006</v>
      </c>
      <c r="GM9" s="711">
        <f t="shared" si="75"/>
        <v>436858.2</v>
      </c>
      <c r="GN9" s="711">
        <f t="shared" ref="GN9:GO9" si="76">SUM(GN10:GN14)</f>
        <v>485923.06</v>
      </c>
      <c r="GO9" s="711">
        <f t="shared" si="76"/>
        <v>543964.43999999994</v>
      </c>
      <c r="GP9" s="711">
        <f t="shared" ref="GP9:GQ9" si="77">SUM(GP10:GP14)</f>
        <v>560335.06000000006</v>
      </c>
      <c r="GQ9" s="711">
        <f t="shared" si="77"/>
        <v>34096.239999999998</v>
      </c>
      <c r="GR9" s="711">
        <f t="shared" ref="GR9:GS9" si="78">SUM(GR10:GR14)</f>
        <v>50477.439999999995</v>
      </c>
      <c r="GS9" s="711">
        <f t="shared" si="78"/>
        <v>99599.949999999983</v>
      </c>
      <c r="GT9" s="711">
        <f t="shared" ref="GT9:GU9" si="79">SUM(GT10:GT14)</f>
        <v>120952.06</v>
      </c>
      <c r="GU9" s="711">
        <f t="shared" si="79"/>
        <v>137323.06999999998</v>
      </c>
      <c r="GV9" s="711">
        <f t="shared" ref="GV9:GW9" si="80">SUM(GV10:GV14)</f>
        <v>153701.5</v>
      </c>
      <c r="GW9" s="711">
        <f t="shared" si="80"/>
        <v>170084.96999999997</v>
      </c>
      <c r="GX9" s="711">
        <f t="shared" ref="GX9:GY9" si="81">SUM(GX10:GX14)</f>
        <v>219239.62</v>
      </c>
      <c r="GY9" s="711">
        <f t="shared" si="81"/>
        <v>235950.01</v>
      </c>
      <c r="GZ9" s="711">
        <f t="shared" ref="GZ9:HA9" si="82">SUM(GZ10:GZ14)</f>
        <v>251673.11000000002</v>
      </c>
      <c r="HA9" s="711">
        <f t="shared" si="82"/>
        <v>268551.17000000004</v>
      </c>
      <c r="HB9" s="711">
        <f t="shared" ref="HB9:HC9" si="83">SUM(HB10:HB14)</f>
        <v>284941.01000000007</v>
      </c>
      <c r="HC9" s="711">
        <f t="shared" si="83"/>
        <v>334120.46000000014</v>
      </c>
      <c r="HD9" s="711">
        <f t="shared" ref="HD9:HE9" si="84">SUM(HD10:HD14)</f>
        <v>350020.15000000008</v>
      </c>
      <c r="HE9" s="711">
        <f t="shared" si="84"/>
        <v>366415.03000000009</v>
      </c>
      <c r="HF9" s="711">
        <f t="shared" ref="HF9:HG9" si="85">SUM(HF10:HF14)</f>
        <v>382827.08000000013</v>
      </c>
      <c r="HG9" s="711">
        <f t="shared" si="85"/>
        <v>404805.04000000004</v>
      </c>
      <c r="HH9" s="711">
        <f t="shared" ref="HH9:HI9" si="86">SUM(HH10:HH14)</f>
        <v>454005.75000000012</v>
      </c>
      <c r="HI9" s="711">
        <f t="shared" si="86"/>
        <v>470377.69000000006</v>
      </c>
      <c r="HJ9" s="711">
        <f t="shared" ref="HJ9:HK9" si="87">SUM(HJ10:HJ14)</f>
        <v>486770.4800000001</v>
      </c>
      <c r="HK9" s="711">
        <f t="shared" si="87"/>
        <v>503168.47000000009</v>
      </c>
    </row>
    <row r="10" spans="1:219" ht="29.25">
      <c r="A10" s="6" t="s">
        <v>7</v>
      </c>
      <c r="B10" s="7">
        <v>256085.96000000005</v>
      </c>
      <c r="C10" s="7">
        <v>24080.97</v>
      </c>
      <c r="D10" s="7">
        <v>48175.95</v>
      </c>
      <c r="E10" s="7">
        <v>56200.179999999993</v>
      </c>
      <c r="F10" s="7">
        <v>64232.849999999991</v>
      </c>
      <c r="G10" s="7">
        <v>72258.639999999985</v>
      </c>
      <c r="H10" s="7">
        <v>80289.76999999999</v>
      </c>
      <c r="I10" s="7">
        <v>104378.98</v>
      </c>
      <c r="J10" s="7">
        <v>112408.73999999999</v>
      </c>
      <c r="K10" s="7">
        <v>120435.90999999999</v>
      </c>
      <c r="L10" s="7">
        <v>128469.85999999999</v>
      </c>
      <c r="M10" s="7">
        <v>136492.79999999999</v>
      </c>
      <c r="N10" s="7">
        <v>160578.00999999998</v>
      </c>
      <c r="O10" s="7">
        <v>168615.74</v>
      </c>
      <c r="P10" s="7">
        <v>176655.72999999998</v>
      </c>
      <c r="Q10" s="7">
        <v>184699.24999999997</v>
      </c>
      <c r="R10" s="7">
        <v>192745.97999999998</v>
      </c>
      <c r="S10" s="7">
        <v>216889.54</v>
      </c>
      <c r="T10" s="7">
        <v>224953.81</v>
      </c>
      <c r="U10" s="7">
        <v>232989.19</v>
      </c>
      <c r="V10" s="7">
        <v>241040.9</v>
      </c>
      <c r="W10" s="7">
        <v>249111.25999999998</v>
      </c>
      <c r="X10" s="7">
        <v>273326.63999999996</v>
      </c>
      <c r="Y10" s="7">
        <v>281399.51999999996</v>
      </c>
      <c r="Z10" s="7">
        <v>40347.370000000003</v>
      </c>
      <c r="AA10" s="7">
        <v>48419.73</v>
      </c>
      <c r="AB10" s="7">
        <v>56494.100000000006</v>
      </c>
      <c r="AC10" s="7">
        <v>80718.820000000007</v>
      </c>
      <c r="AD10" s="7">
        <v>88783.6</v>
      </c>
      <c r="AE10" s="7">
        <v>96856.450000000012</v>
      </c>
      <c r="AF10" s="7">
        <v>104914.30000000002</v>
      </c>
      <c r="AG10" s="7">
        <v>112976.02000000002</v>
      </c>
      <c r="AH10" s="7">
        <v>137176.36000000002</v>
      </c>
      <c r="AI10" s="7">
        <v>145247.59000000003</v>
      </c>
      <c r="AJ10" s="7">
        <v>153303.79000000004</v>
      </c>
      <c r="AK10" s="7">
        <v>161377.86000000004</v>
      </c>
      <c r="AL10" s="7">
        <v>169452.48000000004</v>
      </c>
      <c r="AM10" s="7">
        <v>193672.97000000003</v>
      </c>
      <c r="AN10" s="7">
        <v>201751.03000000003</v>
      </c>
      <c r="AO10" s="7">
        <v>209820.19000000003</v>
      </c>
      <c r="AP10" s="7">
        <v>217869.87000000002</v>
      </c>
      <c r="AQ10" s="7">
        <v>225923.92</v>
      </c>
      <c r="AR10" s="7">
        <v>250114.71</v>
      </c>
      <c r="AS10" s="7">
        <v>258189.87</v>
      </c>
      <c r="AT10" s="7">
        <v>40335.980000000003</v>
      </c>
      <c r="AU10" s="7">
        <v>48406.86</v>
      </c>
      <c r="AV10" s="7">
        <v>56485.23</v>
      </c>
      <c r="AW10" s="7">
        <v>80721.87</v>
      </c>
      <c r="AX10" s="7">
        <v>88785.739999999991</v>
      </c>
      <c r="AY10" s="7">
        <v>96857.299999999988</v>
      </c>
      <c r="AZ10" s="7">
        <v>104943.96999999999</v>
      </c>
      <c r="BA10" s="7">
        <v>113031.65</v>
      </c>
      <c r="BB10" s="7">
        <v>137290.23999999999</v>
      </c>
      <c r="BC10" s="7">
        <v>145379.54999999999</v>
      </c>
      <c r="BD10" s="7">
        <v>153453.94999999998</v>
      </c>
      <c r="BE10" s="7">
        <v>161520.80999999997</v>
      </c>
      <c r="BF10" s="7">
        <v>169613.12999999998</v>
      </c>
      <c r="BG10" s="7">
        <v>193893.19</v>
      </c>
      <c r="BH10" s="7">
        <v>201994.09</v>
      </c>
      <c r="BI10" s="7">
        <v>210076.29</v>
      </c>
      <c r="BJ10" s="7">
        <v>218167.02000000002</v>
      </c>
      <c r="BK10" s="7">
        <v>226263.25000000003</v>
      </c>
      <c r="BL10" s="7">
        <v>250547.29000000004</v>
      </c>
      <c r="BM10" s="7">
        <v>258635.29000000004</v>
      </c>
      <c r="BN10" s="7">
        <v>266715.89</v>
      </c>
      <c r="BO10" s="7">
        <v>24257.119999999999</v>
      </c>
      <c r="BP10" s="7">
        <v>32338.48</v>
      </c>
      <c r="BQ10" s="7">
        <v>56579.979999999996</v>
      </c>
      <c r="BR10" s="709">
        <v>64674.17</v>
      </c>
      <c r="BS10" s="2">
        <v>72763.72</v>
      </c>
      <c r="BT10" s="2">
        <v>80854.559999999998</v>
      </c>
      <c r="BU10" s="2">
        <v>88949</v>
      </c>
      <c r="BV10" s="2">
        <v>113229.63</v>
      </c>
      <c r="BW10" s="2">
        <v>121322.79000000001</v>
      </c>
      <c r="BX10" s="2">
        <v>129429.13</v>
      </c>
      <c r="BY10" s="2">
        <v>137537.07</v>
      </c>
      <c r="BZ10" s="2">
        <v>145647.5</v>
      </c>
      <c r="CA10" s="2">
        <v>169985.83</v>
      </c>
      <c r="CB10" s="2">
        <v>178096.63999999998</v>
      </c>
      <c r="CC10" s="2">
        <v>186208.55</v>
      </c>
      <c r="CD10" s="2">
        <v>194314.47999999998</v>
      </c>
      <c r="CE10" s="2">
        <v>202417.65</v>
      </c>
      <c r="CF10" s="2">
        <v>226731.2</v>
      </c>
      <c r="CG10" s="2">
        <v>234824.86000000002</v>
      </c>
      <c r="CH10" s="2">
        <v>242922.99000000002</v>
      </c>
      <c r="CI10" s="2">
        <v>251022.23</v>
      </c>
      <c r="CJ10" s="2">
        <v>259110.06</v>
      </c>
      <c r="CK10" s="2">
        <v>283392.13</v>
      </c>
      <c r="CL10" s="2">
        <v>48597.72</v>
      </c>
      <c r="CM10" s="2">
        <v>56705.95</v>
      </c>
      <c r="CN10" s="2">
        <v>64833.27</v>
      </c>
      <c r="CO10" s="2">
        <v>72964.509999999995</v>
      </c>
      <c r="CP10" s="2">
        <v>97358.35</v>
      </c>
      <c r="CQ10" s="2">
        <v>105482.03</v>
      </c>
      <c r="CR10" s="2">
        <v>113584.37</v>
      </c>
      <c r="CS10" s="2">
        <v>121699.76</v>
      </c>
      <c r="CT10" s="2">
        <v>129809.54</v>
      </c>
      <c r="CU10" s="2">
        <v>154146.02000000002</v>
      </c>
      <c r="CV10" s="2">
        <v>162278.69000000003</v>
      </c>
      <c r="CW10" s="2">
        <v>170415.74000000002</v>
      </c>
      <c r="CX10" s="2">
        <v>178548.58000000002</v>
      </c>
      <c r="CY10" s="2">
        <v>186682.17</v>
      </c>
      <c r="CZ10" s="2">
        <v>211072.96</v>
      </c>
      <c r="DA10" s="2">
        <v>219208.34</v>
      </c>
      <c r="DB10" s="2">
        <v>227334.13999999998</v>
      </c>
      <c r="DC10" s="2">
        <v>235464.28</v>
      </c>
      <c r="DD10" s="2">
        <v>243605.81</v>
      </c>
      <c r="DE10" s="2">
        <v>251753.41</v>
      </c>
      <c r="DF10" s="2">
        <v>268046.81</v>
      </c>
      <c r="DG10" s="2">
        <v>276198.21000000002</v>
      </c>
      <c r="DH10" s="2">
        <v>32571.130000000005</v>
      </c>
      <c r="DI10" s="2">
        <v>40706.58</v>
      </c>
      <c r="DJ10" s="2">
        <v>48860.43</v>
      </c>
      <c r="DK10" s="2">
        <v>73301.61</v>
      </c>
      <c r="DL10" s="2">
        <v>81426.070000000007</v>
      </c>
      <c r="DM10" s="2">
        <v>89564.3</v>
      </c>
      <c r="DN10" s="2">
        <v>97696.72</v>
      </c>
      <c r="DO10" s="2">
        <v>105817.53</v>
      </c>
      <c r="DP10" s="2">
        <v>130182.78</v>
      </c>
      <c r="DQ10" s="2">
        <v>138321.47</v>
      </c>
      <c r="DR10" s="2">
        <v>146461.13</v>
      </c>
      <c r="DS10" s="2">
        <v>154579.86000000002</v>
      </c>
      <c r="DT10" s="2">
        <v>162711.1</v>
      </c>
      <c r="DU10" s="2">
        <v>187115.19999999998</v>
      </c>
      <c r="DV10" s="2">
        <v>195255.11</v>
      </c>
      <c r="DW10" s="2">
        <v>203396.69999999998</v>
      </c>
      <c r="DX10" s="2">
        <v>211522.21999999997</v>
      </c>
      <c r="DY10" s="2">
        <v>219655.73999999996</v>
      </c>
      <c r="DZ10" s="2">
        <v>244066.70999999993</v>
      </c>
      <c r="EA10" s="576">
        <v>252216.19999999992</v>
      </c>
      <c r="EB10" s="2">
        <v>260366.69999999992</v>
      </c>
      <c r="EC10" s="2">
        <v>24436.12</v>
      </c>
      <c r="ED10" s="2">
        <v>32583.519999999997</v>
      </c>
      <c r="EE10" s="2">
        <v>57029.66</v>
      </c>
      <c r="EF10" s="2">
        <v>65167.73</v>
      </c>
      <c r="EG10" s="2">
        <v>73309.070000000007</v>
      </c>
      <c r="EH10" s="576">
        <v>81458.430000000008</v>
      </c>
      <c r="EI10" s="576">
        <v>89602.880000000005</v>
      </c>
      <c r="EJ10" s="576">
        <v>114046.45</v>
      </c>
      <c r="EK10" s="576">
        <v>122195.06</v>
      </c>
      <c r="EL10" s="576">
        <v>130333.09</v>
      </c>
      <c r="EM10" s="576">
        <v>138466.06</v>
      </c>
      <c r="EN10" s="576">
        <v>146605.88</v>
      </c>
      <c r="EO10" s="576">
        <v>171028.44000000003</v>
      </c>
      <c r="EP10" s="576">
        <v>179173.61000000004</v>
      </c>
      <c r="EQ10" s="576">
        <v>187314.58000000005</v>
      </c>
      <c r="ER10" s="576">
        <v>195451.93000000005</v>
      </c>
      <c r="ES10" s="576">
        <v>203596.46000000005</v>
      </c>
      <c r="ET10" s="576">
        <v>228038.50000000006</v>
      </c>
      <c r="EU10" s="576">
        <v>236182.29000000007</v>
      </c>
      <c r="EV10" s="576">
        <v>244328.13000000006</v>
      </c>
      <c r="EW10" s="576">
        <v>252485.93000000005</v>
      </c>
      <c r="EX10" s="576">
        <v>260640.16000000006</v>
      </c>
      <c r="EY10" s="576">
        <v>285113.62000000005</v>
      </c>
      <c r="EZ10" s="576">
        <v>293283.86000000004</v>
      </c>
      <c r="FA10" s="576">
        <v>48966.23</v>
      </c>
      <c r="FB10" s="576">
        <v>57140.700000000004</v>
      </c>
      <c r="FC10" s="576">
        <v>65303.710000000006</v>
      </c>
      <c r="FD10" s="576">
        <v>89799.2</v>
      </c>
      <c r="FE10" s="576">
        <v>97965.51</v>
      </c>
      <c r="FF10" s="576">
        <v>106150.29</v>
      </c>
      <c r="FG10" s="576">
        <v>114336.15999999999</v>
      </c>
      <c r="FH10" s="576">
        <v>122523.12</v>
      </c>
      <c r="FI10" s="576">
        <v>147076.66</v>
      </c>
      <c r="FJ10" s="576">
        <v>155258.4</v>
      </c>
      <c r="FK10" s="576">
        <v>163444.63</v>
      </c>
      <c r="FL10" s="576">
        <v>171632.44</v>
      </c>
      <c r="FM10" s="576">
        <v>179821.93</v>
      </c>
      <c r="FN10" s="576">
        <v>204391.31999999998</v>
      </c>
      <c r="FO10" s="576">
        <v>212588.52999999997</v>
      </c>
      <c r="FP10" s="576">
        <v>220785.03999999998</v>
      </c>
      <c r="FQ10" s="576">
        <v>228968.99</v>
      </c>
      <c r="FR10" s="576">
        <v>237171.38</v>
      </c>
      <c r="FS10" s="576">
        <v>253580.55000000002</v>
      </c>
      <c r="FT10" s="576">
        <v>261785.78000000003</v>
      </c>
      <c r="FU10" s="576">
        <v>269980.21000000002</v>
      </c>
      <c r="FV10" s="576">
        <v>24604.190000000002</v>
      </c>
      <c r="FW10" s="576">
        <v>32807.200000000004</v>
      </c>
      <c r="FX10" s="576">
        <v>41010.890000000007</v>
      </c>
      <c r="FY10" s="576">
        <v>65623.520000000019</v>
      </c>
      <c r="FZ10" s="576">
        <v>73826.200000000012</v>
      </c>
      <c r="GA10" s="851">
        <v>82027.650000000009</v>
      </c>
      <c r="GB10" s="851">
        <v>90230.890000000014</v>
      </c>
      <c r="GC10" s="851">
        <v>98433.690000000017</v>
      </c>
      <c r="GD10" s="851">
        <v>123039.07000000002</v>
      </c>
      <c r="GE10" s="851">
        <v>131245.61000000002</v>
      </c>
      <c r="GF10" s="851">
        <v>139454.83000000002</v>
      </c>
      <c r="GG10" s="851">
        <v>147668.97000000003</v>
      </c>
      <c r="GH10" s="851">
        <v>155874.92000000004</v>
      </c>
      <c r="GI10" s="851">
        <v>180501.48000000007</v>
      </c>
      <c r="GJ10" s="851">
        <v>188703.65000000008</v>
      </c>
      <c r="GK10" s="851">
        <v>196898.96000000008</v>
      </c>
      <c r="GL10" s="851">
        <v>205101.19000000009</v>
      </c>
      <c r="GM10" s="851">
        <v>213304.1400000001</v>
      </c>
      <c r="GN10" s="851">
        <v>237915.16000000012</v>
      </c>
      <c r="GO10" s="851">
        <v>246129.83000000013</v>
      </c>
      <c r="GP10" s="851">
        <v>254341.36000000013</v>
      </c>
      <c r="GQ10" s="851">
        <v>16425.919999999998</v>
      </c>
      <c r="GR10" s="851">
        <v>24642.76</v>
      </c>
      <c r="GS10" s="851">
        <v>49285.200000000004</v>
      </c>
      <c r="GT10" s="851">
        <v>57497.87</v>
      </c>
      <c r="GU10" s="851">
        <v>65709.59</v>
      </c>
      <c r="GV10" s="851">
        <v>73925.039999999994</v>
      </c>
      <c r="GW10" s="851">
        <v>82143.009999999995</v>
      </c>
      <c r="GX10" s="851">
        <v>106799.05</v>
      </c>
      <c r="GY10" s="851">
        <v>115007.93000000001</v>
      </c>
      <c r="GZ10" s="851">
        <v>123223.35</v>
      </c>
      <c r="HA10" s="851">
        <v>131438.61000000002</v>
      </c>
      <c r="HB10" s="851">
        <v>139659.78000000003</v>
      </c>
      <c r="HC10" s="851">
        <v>164328.27000000005</v>
      </c>
      <c r="HD10" s="851">
        <v>172554.38000000006</v>
      </c>
      <c r="HE10" s="851">
        <v>180778.08000000007</v>
      </c>
      <c r="HF10" s="851">
        <v>189010.39000000007</v>
      </c>
      <c r="HG10" s="851">
        <v>197237.64000000007</v>
      </c>
      <c r="HH10" s="851">
        <v>221916.80000000008</v>
      </c>
      <c r="HI10" s="851">
        <v>230128.99000000008</v>
      </c>
      <c r="HJ10" s="851">
        <v>238351.64000000007</v>
      </c>
      <c r="HK10" s="851">
        <v>246576.90000000008</v>
      </c>
    </row>
    <row r="11" spans="1:219" ht="43.5">
      <c r="A11" s="6" t="s">
        <v>8</v>
      </c>
      <c r="B11" s="7">
        <v>236462.51000000007</v>
      </c>
      <c r="C11" s="7">
        <v>22235.68</v>
      </c>
      <c r="D11" s="7">
        <v>44484.3</v>
      </c>
      <c r="E11" s="7">
        <v>51893.64</v>
      </c>
      <c r="F11" s="7">
        <v>59310.78</v>
      </c>
      <c r="G11" s="7">
        <v>66721.569999999992</v>
      </c>
      <c r="H11" s="7">
        <v>74137.279999999999</v>
      </c>
      <c r="I11" s="7">
        <v>96380.550000000017</v>
      </c>
      <c r="J11" s="7">
        <v>103795.00000000001</v>
      </c>
      <c r="K11" s="7">
        <v>111207.06000000001</v>
      </c>
      <c r="L11" s="7">
        <v>118625.38</v>
      </c>
      <c r="M11" s="7">
        <v>126033.54000000001</v>
      </c>
      <c r="N11" s="7">
        <v>148273.15000000002</v>
      </c>
      <c r="O11" s="7">
        <v>155694.97000000003</v>
      </c>
      <c r="P11" s="7">
        <v>163118.86000000004</v>
      </c>
      <c r="Q11" s="7">
        <v>170546.02000000005</v>
      </c>
      <c r="R11" s="7">
        <v>177976.15000000005</v>
      </c>
      <c r="S11" s="7">
        <v>200269.64000000007</v>
      </c>
      <c r="T11" s="7">
        <v>207715.95000000007</v>
      </c>
      <c r="U11" s="7">
        <v>215135.59000000008</v>
      </c>
      <c r="V11" s="7">
        <v>222570.31000000008</v>
      </c>
      <c r="W11" s="7">
        <v>230022.2600000001</v>
      </c>
      <c r="X11" s="7">
        <v>252382.07000000012</v>
      </c>
      <c r="Y11" s="7">
        <v>259836.33000000013</v>
      </c>
      <c r="Z11" s="7">
        <v>37255.629999999997</v>
      </c>
      <c r="AA11" s="7">
        <v>44709.43</v>
      </c>
      <c r="AB11" s="7">
        <v>52165.07</v>
      </c>
      <c r="AC11" s="7">
        <v>74533.47</v>
      </c>
      <c r="AD11" s="7">
        <v>81980.259999999995</v>
      </c>
      <c r="AE11" s="7">
        <v>89434.5</v>
      </c>
      <c r="AF11" s="7">
        <v>96874.9</v>
      </c>
      <c r="AG11" s="7">
        <v>104318.86</v>
      </c>
      <c r="AH11" s="7">
        <v>126664.77000000002</v>
      </c>
      <c r="AI11" s="7">
        <v>134117.52000000002</v>
      </c>
      <c r="AJ11" s="7">
        <v>141556.38</v>
      </c>
      <c r="AK11" s="7">
        <v>149011.74</v>
      </c>
      <c r="AL11" s="7">
        <v>156467.60999999999</v>
      </c>
      <c r="AM11" s="7">
        <v>178832.11999999997</v>
      </c>
      <c r="AN11" s="7">
        <v>186291.16999999995</v>
      </c>
      <c r="AO11" s="7">
        <v>193742.00999999995</v>
      </c>
      <c r="AP11" s="7">
        <v>201174.84999999995</v>
      </c>
      <c r="AQ11" s="7">
        <v>208611.71999999994</v>
      </c>
      <c r="AR11" s="7">
        <v>230948.78999999992</v>
      </c>
      <c r="AS11" s="7">
        <v>238405.16999999993</v>
      </c>
      <c r="AT11" s="7">
        <v>37245.08</v>
      </c>
      <c r="AU11" s="7">
        <v>44697.81</v>
      </c>
      <c r="AV11" s="7">
        <v>52156.850000000006</v>
      </c>
      <c r="AW11" s="7">
        <v>74536.289999999994</v>
      </c>
      <c r="AX11" s="7">
        <v>81982.239999999991</v>
      </c>
      <c r="AY11" s="7">
        <v>89435.29</v>
      </c>
      <c r="AZ11" s="7">
        <v>96902.29</v>
      </c>
      <c r="BA11" s="7">
        <v>104370.22</v>
      </c>
      <c r="BB11" s="7">
        <v>126769.9</v>
      </c>
      <c r="BC11" s="7">
        <v>134239.35</v>
      </c>
      <c r="BD11" s="7">
        <v>141695.02000000002</v>
      </c>
      <c r="BE11" s="7">
        <v>149143.73000000001</v>
      </c>
      <c r="BF11" s="7">
        <v>156615.95000000001</v>
      </c>
      <c r="BG11" s="7">
        <v>179035.47</v>
      </c>
      <c r="BH11" s="7">
        <v>186515.62</v>
      </c>
      <c r="BI11" s="7">
        <v>193978.49</v>
      </c>
      <c r="BJ11" s="7">
        <v>201449.24</v>
      </c>
      <c r="BK11" s="7">
        <v>208925.06999999998</v>
      </c>
      <c r="BL11" s="7">
        <v>231348.26999999996</v>
      </c>
      <c r="BM11" s="7">
        <v>238816.49999999997</v>
      </c>
      <c r="BN11" s="7">
        <v>246277.88999999998</v>
      </c>
      <c r="BO11" s="7">
        <v>22398.32</v>
      </c>
      <c r="BP11" s="7">
        <v>29860.42</v>
      </c>
      <c r="BQ11" s="7">
        <v>52244.34</v>
      </c>
      <c r="BR11" s="709">
        <v>59718.289999999994</v>
      </c>
      <c r="BS11" s="2">
        <v>67187.95</v>
      </c>
      <c r="BT11" s="2">
        <v>74658.8</v>
      </c>
      <c r="BU11" s="2">
        <v>82132.98000000001</v>
      </c>
      <c r="BV11" s="2">
        <v>104553.03</v>
      </c>
      <c r="BW11" s="2">
        <v>112026.02</v>
      </c>
      <c r="BX11" s="2">
        <v>119511.19</v>
      </c>
      <c r="BY11" s="2">
        <v>126997.83</v>
      </c>
      <c r="BZ11" s="2">
        <v>134486.78</v>
      </c>
      <c r="CA11" s="2">
        <v>156960.12000000002</v>
      </c>
      <c r="CB11" s="2">
        <v>164449.41000000003</v>
      </c>
      <c r="CC11" s="2">
        <v>171939.72000000003</v>
      </c>
      <c r="CD11" s="2">
        <v>179424.50000000003</v>
      </c>
      <c r="CE11" s="2">
        <v>186906.73000000004</v>
      </c>
      <c r="CF11" s="2">
        <v>209357.16000000006</v>
      </c>
      <c r="CG11" s="2">
        <v>216830.61000000007</v>
      </c>
      <c r="CH11" s="2">
        <v>224308.19000000006</v>
      </c>
      <c r="CI11" s="2">
        <v>231786.79000000007</v>
      </c>
      <c r="CJ11" s="2">
        <v>239254.86000000007</v>
      </c>
      <c r="CK11" s="2">
        <v>261676.24000000008</v>
      </c>
      <c r="CL11" s="2">
        <v>44873.749999999993</v>
      </c>
      <c r="CM11" s="2">
        <v>52360.659999999989</v>
      </c>
      <c r="CN11" s="2">
        <v>59865.189999999988</v>
      </c>
      <c r="CO11" s="2">
        <v>67373.349999999991</v>
      </c>
      <c r="CP11" s="2">
        <v>89897.93</v>
      </c>
      <c r="CQ11" s="2">
        <v>97399.109999999986</v>
      </c>
      <c r="CR11" s="2">
        <v>104880.58999999998</v>
      </c>
      <c r="CS11" s="2">
        <v>112374.09999999998</v>
      </c>
      <c r="CT11" s="2">
        <v>119862.42999999998</v>
      </c>
      <c r="CU11" s="2">
        <v>142334.01999999996</v>
      </c>
      <c r="CV11" s="2">
        <v>149843.49999999997</v>
      </c>
      <c r="CW11" s="2">
        <v>157357.00999999998</v>
      </c>
      <c r="CX11" s="2">
        <v>164866.65</v>
      </c>
      <c r="CY11" s="2">
        <v>172376.97999999998</v>
      </c>
      <c r="CZ11" s="2">
        <v>194898.73999999996</v>
      </c>
      <c r="DA11" s="2">
        <v>202410.71999999997</v>
      </c>
      <c r="DB11" s="2">
        <v>209913.84999999998</v>
      </c>
      <c r="DC11" s="2">
        <v>217420.97999999998</v>
      </c>
      <c r="DD11" s="2">
        <v>224938.63999999998</v>
      </c>
      <c r="DE11" s="2">
        <v>232461.90999999997</v>
      </c>
      <c r="DF11" s="2">
        <v>247506.77999999997</v>
      </c>
      <c r="DG11" s="2">
        <v>255033.53999999998</v>
      </c>
      <c r="DH11" s="2">
        <v>30075.25</v>
      </c>
      <c r="DI11" s="2">
        <v>37587.279999999999</v>
      </c>
      <c r="DJ11" s="2">
        <v>45116.32</v>
      </c>
      <c r="DK11" s="2">
        <v>67684.62</v>
      </c>
      <c r="DL11" s="2">
        <v>75186.509999999995</v>
      </c>
      <c r="DM11" s="2">
        <v>82701.119999999995</v>
      </c>
      <c r="DN11" s="2">
        <v>90210.37</v>
      </c>
      <c r="DO11" s="2">
        <v>97708.89</v>
      </c>
      <c r="DP11" s="2">
        <v>120207.05</v>
      </c>
      <c r="DQ11" s="2">
        <v>127722.08</v>
      </c>
      <c r="DR11" s="2">
        <v>135238.01</v>
      </c>
      <c r="DS11" s="2">
        <v>142734.62</v>
      </c>
      <c r="DT11" s="2">
        <v>150242.76999999999</v>
      </c>
      <c r="DU11" s="2">
        <v>172776.81999999998</v>
      </c>
      <c r="DV11" s="2">
        <v>180292.99</v>
      </c>
      <c r="DW11" s="2">
        <v>187810.69999999998</v>
      </c>
      <c r="DX11" s="2">
        <v>195313.56999999998</v>
      </c>
      <c r="DY11" s="2">
        <v>202823.83</v>
      </c>
      <c r="DZ11" s="2">
        <v>225364.22</v>
      </c>
      <c r="EA11" s="576">
        <v>232889.23</v>
      </c>
      <c r="EB11" s="2">
        <v>240415.18000000002</v>
      </c>
      <c r="EC11" s="2">
        <v>22563.629999999997</v>
      </c>
      <c r="ED11" s="2">
        <v>30086.719999999998</v>
      </c>
      <c r="EE11" s="2">
        <v>52659.619999999995</v>
      </c>
      <c r="EF11" s="2">
        <v>60174.079999999994</v>
      </c>
      <c r="EG11" s="2">
        <v>67691.569999999992</v>
      </c>
      <c r="EH11" s="576">
        <v>75216.469999999987</v>
      </c>
      <c r="EI11" s="576">
        <v>82736.819999999992</v>
      </c>
      <c r="EJ11" s="576">
        <v>105307.31</v>
      </c>
      <c r="EK11" s="576">
        <v>112831.51</v>
      </c>
      <c r="EL11" s="576">
        <v>120345.94</v>
      </c>
      <c r="EM11" s="576">
        <v>127855.7</v>
      </c>
      <c r="EN11" s="576">
        <v>135371.78</v>
      </c>
      <c r="EO11" s="576">
        <v>157922.87999999998</v>
      </c>
      <c r="EP11" s="576">
        <v>165443.89999999997</v>
      </c>
      <c r="EQ11" s="576">
        <v>172961.03999999998</v>
      </c>
      <c r="ER11" s="576">
        <v>180474.83999999997</v>
      </c>
      <c r="ES11" s="576">
        <v>187995.26999999996</v>
      </c>
      <c r="ET11" s="576">
        <v>210564.35999999996</v>
      </c>
      <c r="EU11" s="576">
        <v>218084.09999999995</v>
      </c>
      <c r="EV11" s="576">
        <v>225605.72999999995</v>
      </c>
      <c r="EW11" s="576">
        <v>233138.41999999995</v>
      </c>
      <c r="EX11" s="576">
        <v>240667.79999999996</v>
      </c>
      <c r="EY11" s="576">
        <v>263265.87999999995</v>
      </c>
      <c r="EZ11" s="576">
        <v>270810.03999999992</v>
      </c>
      <c r="FA11" s="576">
        <v>45213.99</v>
      </c>
      <c r="FB11" s="576">
        <v>52762.06</v>
      </c>
      <c r="FC11" s="576">
        <v>60299.56</v>
      </c>
      <c r="FD11" s="576">
        <v>82918.009999999995</v>
      </c>
      <c r="FE11" s="576">
        <v>90458.549999999988</v>
      </c>
      <c r="FF11" s="576">
        <v>98016.15</v>
      </c>
      <c r="FG11" s="576">
        <v>105574.75</v>
      </c>
      <c r="FH11" s="576">
        <v>113134.36</v>
      </c>
      <c r="FI11" s="576">
        <v>135806.41</v>
      </c>
      <c r="FJ11" s="576">
        <v>143361.19</v>
      </c>
      <c r="FK11" s="576">
        <v>150920.12</v>
      </c>
      <c r="FL11" s="576">
        <v>158480.51</v>
      </c>
      <c r="FM11" s="576">
        <v>166042.45000000001</v>
      </c>
      <c r="FN11" s="576">
        <v>188729.13</v>
      </c>
      <c r="FO11" s="576">
        <v>196298.2</v>
      </c>
      <c r="FP11" s="576">
        <v>203866.62000000002</v>
      </c>
      <c r="FQ11" s="576">
        <v>211423.45</v>
      </c>
      <c r="FR11" s="576">
        <v>218997.31</v>
      </c>
      <c r="FS11" s="576">
        <v>234149.08</v>
      </c>
      <c r="FT11" s="576">
        <v>241725.55</v>
      </c>
      <c r="FU11" s="576">
        <v>249292.06</v>
      </c>
      <c r="FV11" s="576">
        <v>22718.809999999998</v>
      </c>
      <c r="FW11" s="576">
        <v>30293.229999999996</v>
      </c>
      <c r="FX11" s="576">
        <v>37868.289999999994</v>
      </c>
      <c r="FY11" s="576">
        <v>60594.899999999987</v>
      </c>
      <c r="FZ11" s="576">
        <v>68169.029999999984</v>
      </c>
      <c r="GA11" s="851">
        <v>75742.00999999998</v>
      </c>
      <c r="GB11" s="851">
        <v>83316.639999999985</v>
      </c>
      <c r="GC11" s="851">
        <v>90890.869999999981</v>
      </c>
      <c r="GD11" s="851">
        <v>113610.77999999997</v>
      </c>
      <c r="GE11" s="851">
        <v>121188.45999999996</v>
      </c>
      <c r="GF11" s="851">
        <v>128768.60999999996</v>
      </c>
      <c r="GG11" s="851">
        <v>136353.31999999995</v>
      </c>
      <c r="GH11" s="851">
        <v>143930.46999999994</v>
      </c>
      <c r="GI11" s="851">
        <v>166669.94999999992</v>
      </c>
      <c r="GJ11" s="851">
        <v>174243.59999999992</v>
      </c>
      <c r="GK11" s="851">
        <v>181810.90999999992</v>
      </c>
      <c r="GL11" s="851">
        <v>189384.60999999993</v>
      </c>
      <c r="GM11" s="851">
        <v>196958.96999999991</v>
      </c>
      <c r="GN11" s="851">
        <v>219684.05999999988</v>
      </c>
      <c r="GO11" s="851">
        <v>227269.25999999989</v>
      </c>
      <c r="GP11" s="851">
        <v>234851.5499999999</v>
      </c>
      <c r="GQ11" s="851">
        <v>15167.23</v>
      </c>
      <c r="GR11" s="851">
        <v>22754.42</v>
      </c>
      <c r="GS11" s="851">
        <v>45508.539999999994</v>
      </c>
      <c r="GT11" s="851">
        <v>53091.87999999999</v>
      </c>
      <c r="GU11" s="851">
        <v>60674.359999999986</v>
      </c>
      <c r="GV11" s="851">
        <v>68260.26999999999</v>
      </c>
      <c r="GW11" s="851">
        <v>75848.51999999999</v>
      </c>
      <c r="GX11" s="851">
        <v>98615.23</v>
      </c>
      <c r="GY11" s="851">
        <v>106195.08</v>
      </c>
      <c r="GZ11" s="851">
        <v>113780.97</v>
      </c>
      <c r="HA11" s="851">
        <v>121366.71</v>
      </c>
      <c r="HB11" s="851">
        <v>128957.90000000001</v>
      </c>
      <c r="HC11" s="851">
        <v>151736.07</v>
      </c>
      <c r="HD11" s="851">
        <v>159331.83000000002</v>
      </c>
      <c r="HE11" s="851">
        <v>166925.36000000002</v>
      </c>
      <c r="HF11" s="851">
        <v>174526.84000000003</v>
      </c>
      <c r="HG11" s="851">
        <v>182123.65000000002</v>
      </c>
      <c r="HH11" s="851">
        <v>204911.68000000002</v>
      </c>
      <c r="HI11" s="851">
        <v>212494.58000000002</v>
      </c>
      <c r="HJ11" s="851">
        <v>220087.14</v>
      </c>
      <c r="HK11" s="851">
        <v>227682.11000000002</v>
      </c>
    </row>
    <row r="12" spans="1:219">
      <c r="A12" s="6" t="s">
        <v>9</v>
      </c>
      <c r="B12" s="7">
        <v>17988.16</v>
      </c>
      <c r="C12" s="7">
        <v>1691.51</v>
      </c>
      <c r="D12" s="7">
        <v>3384.0099999999998</v>
      </c>
      <c r="E12" s="7">
        <v>3947.6499999999996</v>
      </c>
      <c r="F12" s="7">
        <v>4511.8899999999994</v>
      </c>
      <c r="G12" s="7">
        <v>5075.6399999999994</v>
      </c>
      <c r="H12" s="7">
        <v>5639.7699999999995</v>
      </c>
      <c r="I12" s="7">
        <v>7331.86</v>
      </c>
      <c r="J12" s="7">
        <v>7895.8899999999994</v>
      </c>
      <c r="K12" s="7">
        <v>8459.74</v>
      </c>
      <c r="L12" s="7">
        <v>9024.07</v>
      </c>
      <c r="M12" s="7">
        <v>9587.619999999999</v>
      </c>
      <c r="N12" s="7">
        <v>11279.419999999998</v>
      </c>
      <c r="O12" s="7">
        <v>11844.009999999998</v>
      </c>
      <c r="P12" s="7">
        <v>12408.759999999998</v>
      </c>
      <c r="Q12" s="7">
        <v>12973.759999999998</v>
      </c>
      <c r="R12" s="7">
        <v>13538.979999999998</v>
      </c>
      <c r="S12" s="7">
        <v>15234.879999999997</v>
      </c>
      <c r="T12" s="7">
        <v>15801.339999999997</v>
      </c>
      <c r="U12" s="7">
        <v>16365.769999999997</v>
      </c>
      <c r="V12" s="7">
        <v>16931.339999999997</v>
      </c>
      <c r="W12" s="7">
        <v>17498.219999999998</v>
      </c>
      <c r="X12" s="7">
        <v>19199.169999999998</v>
      </c>
      <c r="Y12" s="7">
        <v>19766.23</v>
      </c>
      <c r="Z12" s="7">
        <v>2834.1</v>
      </c>
      <c r="AA12" s="7">
        <v>3401.12</v>
      </c>
      <c r="AB12" s="7">
        <v>3968.2799999999997</v>
      </c>
      <c r="AC12" s="7">
        <v>5669.8799999999992</v>
      </c>
      <c r="AD12" s="7">
        <v>6236.369999999999</v>
      </c>
      <c r="AE12" s="7">
        <v>6803.4299999999985</v>
      </c>
      <c r="AF12" s="7">
        <v>7369.4399999999987</v>
      </c>
      <c r="AG12" s="7">
        <v>7935.7199999999984</v>
      </c>
      <c r="AH12" s="7">
        <v>9635.619999999999</v>
      </c>
      <c r="AI12" s="7">
        <v>10202.56</v>
      </c>
      <c r="AJ12" s="7">
        <v>10768.449999999999</v>
      </c>
      <c r="AK12" s="7">
        <v>11335.589999999998</v>
      </c>
      <c r="AL12" s="7">
        <v>11902.769999999999</v>
      </c>
      <c r="AM12" s="7">
        <v>13604.08</v>
      </c>
      <c r="AN12" s="7">
        <v>14171.5</v>
      </c>
      <c r="AO12" s="7">
        <v>14738.3</v>
      </c>
      <c r="AP12" s="7">
        <v>15303.73</v>
      </c>
      <c r="AQ12" s="7">
        <v>15869.47</v>
      </c>
      <c r="AR12" s="7">
        <v>17568.7</v>
      </c>
      <c r="AS12" s="7">
        <v>18135.920000000002</v>
      </c>
      <c r="AT12" s="7">
        <v>2833.31</v>
      </c>
      <c r="AU12" s="7">
        <v>3400.23</v>
      </c>
      <c r="AV12" s="7">
        <v>3967.6800000000003</v>
      </c>
      <c r="AW12" s="7">
        <v>5670.13</v>
      </c>
      <c r="AX12" s="7">
        <v>6236.56</v>
      </c>
      <c r="AY12" s="7">
        <v>6803.5300000000007</v>
      </c>
      <c r="AZ12" s="7">
        <v>7371.56</v>
      </c>
      <c r="BA12" s="7">
        <v>7939.6600000000008</v>
      </c>
      <c r="BB12" s="7">
        <v>9643.6500000000015</v>
      </c>
      <c r="BC12" s="7">
        <v>10211.86</v>
      </c>
      <c r="BD12" s="7">
        <v>10779.03</v>
      </c>
      <c r="BE12" s="7">
        <v>11345.67</v>
      </c>
      <c r="BF12" s="7">
        <v>11914.1</v>
      </c>
      <c r="BG12" s="7">
        <v>13619.6</v>
      </c>
      <c r="BH12" s="7">
        <v>14188.632</v>
      </c>
      <c r="BI12" s="7">
        <v>14756.34</v>
      </c>
      <c r="BJ12" s="7">
        <v>15324.65</v>
      </c>
      <c r="BK12" s="7">
        <v>15893.35</v>
      </c>
      <c r="BL12" s="7">
        <v>17599.12</v>
      </c>
      <c r="BM12" s="7">
        <v>18167.239999999998</v>
      </c>
      <c r="BN12" s="7">
        <v>18734.839999999997</v>
      </c>
      <c r="BO12" s="7">
        <v>1703.88</v>
      </c>
      <c r="BP12" s="7">
        <v>2271.54</v>
      </c>
      <c r="BQ12" s="2">
        <v>3974.3399999999997</v>
      </c>
      <c r="BR12" s="710">
        <v>4542.8999999999996</v>
      </c>
      <c r="BS12" s="2">
        <v>5111.1299999999992</v>
      </c>
      <c r="BT12" s="2">
        <v>5679.4499999999989</v>
      </c>
      <c r="BU12" s="2">
        <v>6248.0199999999986</v>
      </c>
      <c r="BV12" s="2">
        <v>7953.5499999999984</v>
      </c>
      <c r="BW12" s="2">
        <v>8522.0399999999991</v>
      </c>
      <c r="BX12" s="2">
        <v>9091.4499999999989</v>
      </c>
      <c r="BY12" s="2">
        <v>9660.9699999999993</v>
      </c>
      <c r="BZ12" s="2">
        <v>10230.67</v>
      </c>
      <c r="CA12" s="2">
        <v>11940.260000000002</v>
      </c>
      <c r="CB12" s="2">
        <v>12509.980000000001</v>
      </c>
      <c r="CC12" s="2">
        <v>13079.78</v>
      </c>
      <c r="CD12" s="2">
        <v>13649.16</v>
      </c>
      <c r="CE12" s="2">
        <v>14218.35</v>
      </c>
      <c r="CF12" s="2">
        <v>15926.2</v>
      </c>
      <c r="CG12" s="2">
        <v>16494.72</v>
      </c>
      <c r="CH12" s="2">
        <v>17063.550000000003</v>
      </c>
      <c r="CI12" s="2">
        <v>17632.460000000003</v>
      </c>
      <c r="CJ12" s="2">
        <v>18200.570000000003</v>
      </c>
      <c r="CK12" s="2">
        <v>19906.210000000003</v>
      </c>
      <c r="CL12" s="2">
        <v>3413.63</v>
      </c>
      <c r="CM12" s="2">
        <v>3983.17</v>
      </c>
      <c r="CN12" s="2">
        <v>4554.05</v>
      </c>
      <c r="CO12" s="2">
        <v>5125.21</v>
      </c>
      <c r="CP12" s="2">
        <v>6838.7</v>
      </c>
      <c r="CQ12" s="2">
        <v>7409.33</v>
      </c>
      <c r="CR12" s="2">
        <v>7978.46</v>
      </c>
      <c r="CS12" s="2">
        <v>8548.51</v>
      </c>
      <c r="CT12" s="2">
        <v>9118.16</v>
      </c>
      <c r="CU12" s="2">
        <v>10827.609999999999</v>
      </c>
      <c r="CV12" s="2">
        <v>11398.869999999999</v>
      </c>
      <c r="CW12" s="2">
        <v>11970.439999999999</v>
      </c>
      <c r="CX12" s="2">
        <v>12541.71</v>
      </c>
      <c r="CY12" s="2">
        <v>13113.039999999999</v>
      </c>
      <c r="CZ12" s="2">
        <v>14826.32</v>
      </c>
      <c r="DA12" s="2">
        <v>15397.77</v>
      </c>
      <c r="DB12" s="2">
        <v>15968.550000000001</v>
      </c>
      <c r="DC12" s="2">
        <v>16539.63</v>
      </c>
      <c r="DD12" s="2">
        <v>17111.510000000002</v>
      </c>
      <c r="DE12" s="2">
        <v>17683.820000000003</v>
      </c>
      <c r="DF12" s="2">
        <v>18828.310000000005</v>
      </c>
      <c r="DG12" s="2">
        <v>19400.890000000007</v>
      </c>
      <c r="DH12" s="2">
        <v>2287.89</v>
      </c>
      <c r="DI12" s="2">
        <v>2859.35</v>
      </c>
      <c r="DJ12" s="2">
        <v>3432.1</v>
      </c>
      <c r="DK12" s="2">
        <v>5148.92</v>
      </c>
      <c r="DL12" s="2">
        <v>5719.6</v>
      </c>
      <c r="DM12" s="2">
        <v>6291.25</v>
      </c>
      <c r="DN12" s="2">
        <v>6862.49</v>
      </c>
      <c r="DO12" s="2">
        <v>7432.92</v>
      </c>
      <c r="DP12" s="2">
        <v>9144.41</v>
      </c>
      <c r="DQ12" s="2">
        <v>9716.09</v>
      </c>
      <c r="DR12" s="2">
        <v>10287.84</v>
      </c>
      <c r="DS12" s="2">
        <v>10858.12</v>
      </c>
      <c r="DT12" s="2">
        <v>11429.28</v>
      </c>
      <c r="DU12" s="2">
        <v>13143.49</v>
      </c>
      <c r="DV12" s="2">
        <v>13715.26</v>
      </c>
      <c r="DW12" s="2">
        <v>14287.15</v>
      </c>
      <c r="DX12" s="2">
        <v>14857.91</v>
      </c>
      <c r="DY12" s="2">
        <v>15429.23</v>
      </c>
      <c r="DZ12" s="2">
        <v>17143.919999999998</v>
      </c>
      <c r="EA12" s="576">
        <v>17716.359999999997</v>
      </c>
      <c r="EB12" s="2">
        <v>18288.869999999995</v>
      </c>
      <c r="EC12" s="2">
        <v>1716.45</v>
      </c>
      <c r="ED12" s="2">
        <v>2288.75</v>
      </c>
      <c r="EE12" s="2">
        <v>4005.9200000000005</v>
      </c>
      <c r="EF12" s="2">
        <v>4577.5600000000004</v>
      </c>
      <c r="EG12" s="2">
        <v>5149.43</v>
      </c>
      <c r="EH12" s="576">
        <v>5721.8600000000006</v>
      </c>
      <c r="EI12" s="576">
        <v>6293.9500000000007</v>
      </c>
      <c r="EJ12" s="576">
        <v>8010.9400000000005</v>
      </c>
      <c r="EK12" s="576">
        <v>8583.32</v>
      </c>
      <c r="EL12" s="576">
        <v>9154.9599999999991</v>
      </c>
      <c r="EM12" s="576">
        <v>9726.24</v>
      </c>
      <c r="EN12" s="576">
        <v>10298</v>
      </c>
      <c r="EO12" s="576">
        <v>12013.5</v>
      </c>
      <c r="EP12" s="576">
        <v>12585.64</v>
      </c>
      <c r="EQ12" s="576">
        <v>13157.48</v>
      </c>
      <c r="ER12" s="576">
        <v>13729.07</v>
      </c>
      <c r="ES12" s="576">
        <v>14301.16</v>
      </c>
      <c r="ET12" s="576">
        <v>16018.03</v>
      </c>
      <c r="EU12" s="576">
        <v>16590.07</v>
      </c>
      <c r="EV12" s="576">
        <v>17162.25</v>
      </c>
      <c r="EW12" s="576">
        <v>17735.28</v>
      </c>
      <c r="EX12" s="576">
        <v>18308.05</v>
      </c>
      <c r="EY12" s="576">
        <v>20027.12</v>
      </c>
      <c r="EZ12" s="576">
        <v>20601.02</v>
      </c>
      <c r="FA12" s="576">
        <v>3439.5</v>
      </c>
      <c r="FB12" s="576">
        <v>4013.7</v>
      </c>
      <c r="FC12" s="576">
        <v>4587.09</v>
      </c>
      <c r="FD12" s="576">
        <v>6307.7200000000012</v>
      </c>
      <c r="FE12" s="576">
        <v>6881.3400000000011</v>
      </c>
      <c r="FF12" s="576">
        <v>7456.2600000000011</v>
      </c>
      <c r="FG12" s="576">
        <v>8031.2600000000011</v>
      </c>
      <c r="FH12" s="576">
        <v>8606.3300000000017</v>
      </c>
      <c r="FI12" s="576">
        <v>10331.030000000001</v>
      </c>
      <c r="FJ12" s="576">
        <v>10905.740000000002</v>
      </c>
      <c r="FK12" s="576">
        <v>11480.760000000002</v>
      </c>
      <c r="FL12" s="576">
        <v>12055.890000000001</v>
      </c>
      <c r="FM12" s="576">
        <v>12631.140000000001</v>
      </c>
      <c r="FN12" s="576">
        <v>14356.960000000001</v>
      </c>
      <c r="FO12" s="576">
        <v>14932.75</v>
      </c>
      <c r="FP12" s="576">
        <v>15508.49</v>
      </c>
      <c r="FQ12" s="576">
        <v>16083.35</v>
      </c>
      <c r="FR12" s="576">
        <v>16659.510000000002</v>
      </c>
      <c r="FS12" s="576">
        <v>17812.140000000003</v>
      </c>
      <c r="FT12" s="576">
        <v>18388.500000000004</v>
      </c>
      <c r="FU12" s="576">
        <v>18964.100000000002</v>
      </c>
      <c r="FV12" s="576">
        <v>1728.27</v>
      </c>
      <c r="FW12" s="576">
        <v>2304.4700000000003</v>
      </c>
      <c r="FX12" s="576">
        <v>2880.7200000000003</v>
      </c>
      <c r="FY12" s="576">
        <v>4609.58</v>
      </c>
      <c r="FZ12" s="576">
        <v>5185.76</v>
      </c>
      <c r="GA12" s="846">
        <v>5761.85</v>
      </c>
      <c r="GB12" s="846">
        <v>6338.0700000000006</v>
      </c>
      <c r="GC12" s="846">
        <v>6914.26</v>
      </c>
      <c r="GD12" s="846">
        <v>8642.61</v>
      </c>
      <c r="GE12" s="846">
        <v>9219.0600000000013</v>
      </c>
      <c r="GF12" s="846">
        <v>9795.7000000000007</v>
      </c>
      <c r="GG12" s="846">
        <v>10372.68</v>
      </c>
      <c r="GH12" s="846">
        <v>10949.09</v>
      </c>
      <c r="GI12" s="846">
        <v>12678.93</v>
      </c>
      <c r="GJ12" s="846">
        <v>13255.07</v>
      </c>
      <c r="GK12" s="846">
        <v>13830.73</v>
      </c>
      <c r="GL12" s="846">
        <v>14406.88</v>
      </c>
      <c r="GM12" s="846">
        <v>14983.08</v>
      </c>
      <c r="GN12" s="846">
        <v>16711.830000000002</v>
      </c>
      <c r="GO12" s="846">
        <v>17288.850000000002</v>
      </c>
      <c r="GP12" s="846">
        <v>17865.650000000001</v>
      </c>
      <c r="GQ12" s="846">
        <v>1153.8</v>
      </c>
      <c r="GR12" s="846">
        <v>1730.9699999999998</v>
      </c>
      <c r="GS12" s="846">
        <v>3461.92</v>
      </c>
      <c r="GT12" s="846">
        <v>4038.8</v>
      </c>
      <c r="GU12" s="846">
        <v>4615.6100000000006</v>
      </c>
      <c r="GV12" s="846">
        <v>5192.68</v>
      </c>
      <c r="GW12" s="846">
        <v>5769.93</v>
      </c>
      <c r="GX12" s="846">
        <v>7501.83</v>
      </c>
      <c r="GY12" s="846">
        <v>8078.44</v>
      </c>
      <c r="GZ12" s="846">
        <v>8655.51</v>
      </c>
      <c r="HA12" s="846">
        <v>9232.57</v>
      </c>
      <c r="HB12" s="846">
        <v>9810.0499999999993</v>
      </c>
      <c r="HC12" s="846">
        <v>11542.839999999998</v>
      </c>
      <c r="HD12" s="846">
        <v>12120.659999999998</v>
      </c>
      <c r="HE12" s="846">
        <v>12698.309999999998</v>
      </c>
      <c r="HF12" s="846">
        <v>13276.569999999998</v>
      </c>
      <c r="HG12" s="846">
        <v>13854.469999999998</v>
      </c>
      <c r="HH12" s="846">
        <v>15587.989999999996</v>
      </c>
      <c r="HI12" s="846">
        <v>16164.839999999997</v>
      </c>
      <c r="HJ12" s="846">
        <v>16742.419999999998</v>
      </c>
      <c r="HK12" s="846">
        <v>17320.179999999997</v>
      </c>
    </row>
    <row r="13" spans="1:219" ht="43.5">
      <c r="A13" s="6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710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>
        <v>37500</v>
      </c>
      <c r="CE13" s="2">
        <v>37500</v>
      </c>
      <c r="CF13" s="2">
        <v>37500</v>
      </c>
      <c r="CG13" s="2">
        <v>37500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576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576">
        <v>0</v>
      </c>
      <c r="EI13" s="576">
        <v>0</v>
      </c>
      <c r="EJ13" s="576">
        <v>0</v>
      </c>
      <c r="EK13" s="576">
        <v>0</v>
      </c>
      <c r="EL13" s="576">
        <v>0</v>
      </c>
      <c r="EM13" s="576">
        <v>0</v>
      </c>
      <c r="EN13" s="576">
        <v>0</v>
      </c>
      <c r="EO13" s="576">
        <v>0</v>
      </c>
      <c r="EP13" s="576">
        <v>0</v>
      </c>
      <c r="EQ13" s="576">
        <v>0</v>
      </c>
      <c r="ER13" s="576">
        <v>0</v>
      </c>
      <c r="ES13" s="576">
        <v>0</v>
      </c>
      <c r="ET13" s="576">
        <v>0</v>
      </c>
      <c r="EU13" s="576">
        <v>0</v>
      </c>
      <c r="EV13" s="576">
        <v>0</v>
      </c>
      <c r="EW13" s="576">
        <v>0</v>
      </c>
      <c r="EX13" s="576">
        <v>0</v>
      </c>
      <c r="EY13" s="576">
        <v>0</v>
      </c>
      <c r="EZ13" s="576">
        <v>0</v>
      </c>
      <c r="FA13" s="576">
        <v>0</v>
      </c>
      <c r="FB13" s="576">
        <v>0</v>
      </c>
      <c r="FC13" s="576">
        <v>0</v>
      </c>
      <c r="FD13" s="576">
        <v>0</v>
      </c>
      <c r="FE13" s="576">
        <v>0</v>
      </c>
      <c r="FF13" s="576">
        <v>0</v>
      </c>
      <c r="FG13" s="576">
        <v>0</v>
      </c>
      <c r="FH13" s="576">
        <v>0</v>
      </c>
      <c r="FI13" s="576">
        <v>0</v>
      </c>
      <c r="FJ13" s="576">
        <v>0</v>
      </c>
      <c r="FK13" s="576">
        <v>0</v>
      </c>
      <c r="FL13" s="576">
        <v>0</v>
      </c>
      <c r="FM13" s="576">
        <v>0</v>
      </c>
      <c r="FN13" s="576">
        <v>0</v>
      </c>
      <c r="FO13" s="576">
        <v>0</v>
      </c>
      <c r="FP13" s="576">
        <v>0</v>
      </c>
      <c r="FQ13" s="576">
        <v>0</v>
      </c>
      <c r="FR13" s="576">
        <v>0</v>
      </c>
      <c r="FS13" s="576">
        <v>0</v>
      </c>
      <c r="FT13" s="576">
        <v>0</v>
      </c>
      <c r="FU13" s="576">
        <v>0</v>
      </c>
      <c r="FV13" s="576">
        <v>0</v>
      </c>
      <c r="FW13" s="576">
        <v>0</v>
      </c>
      <c r="FX13" s="576">
        <v>0</v>
      </c>
      <c r="FY13" s="576">
        <v>0</v>
      </c>
      <c r="FZ13" s="576"/>
      <c r="GA13" s="964"/>
      <c r="GB13" s="964"/>
      <c r="GC13" s="964"/>
      <c r="GD13" s="964"/>
      <c r="GE13" s="964"/>
      <c r="GF13" s="964"/>
      <c r="GG13" s="964"/>
      <c r="GH13" s="964"/>
      <c r="GI13" s="964"/>
      <c r="GJ13" s="964"/>
      <c r="GK13" s="964"/>
      <c r="GL13" s="964"/>
      <c r="GM13" s="964"/>
      <c r="GN13" s="964"/>
      <c r="GO13" s="964"/>
      <c r="GP13" s="964"/>
      <c r="GQ13" s="964"/>
      <c r="GR13" s="964"/>
      <c r="GS13" s="964"/>
      <c r="GT13" s="964"/>
      <c r="GU13" s="964"/>
      <c r="GV13" s="964"/>
      <c r="GW13" s="964"/>
      <c r="GX13" s="964"/>
      <c r="GY13" s="964"/>
      <c r="GZ13" s="964"/>
      <c r="HA13" s="964"/>
      <c r="HB13" s="964"/>
      <c r="HC13" s="964"/>
      <c r="HD13" s="964"/>
      <c r="HE13" s="964"/>
      <c r="HF13" s="964"/>
      <c r="HG13" s="964"/>
      <c r="HH13" s="964"/>
      <c r="HI13" s="964"/>
      <c r="HJ13" s="964"/>
      <c r="HK13" s="964"/>
    </row>
    <row r="14" spans="1:219">
      <c r="A14" s="9" t="s">
        <v>11</v>
      </c>
      <c r="B14" s="2">
        <v>49203.92</v>
      </c>
      <c r="C14" s="2">
        <v>6363.16</v>
      </c>
      <c r="D14" s="2">
        <v>12868.49</v>
      </c>
      <c r="E14" s="2">
        <v>13846.59</v>
      </c>
      <c r="F14" s="2">
        <v>13846.59</v>
      </c>
      <c r="G14" s="2">
        <v>13846.59</v>
      </c>
      <c r="H14" s="2">
        <v>13846.59</v>
      </c>
      <c r="I14" s="2">
        <v>20439.37</v>
      </c>
      <c r="J14" s="2">
        <v>19154.98</v>
      </c>
      <c r="K14" s="2">
        <v>17556.120000000003</v>
      </c>
      <c r="L14" s="2">
        <v>18056.120000000003</v>
      </c>
      <c r="M14" s="2">
        <v>18056.120000000003</v>
      </c>
      <c r="N14" s="2">
        <v>18056.120000000003</v>
      </c>
      <c r="O14" s="2">
        <v>14442.150000000001</v>
      </c>
      <c r="P14" s="2">
        <v>14442.150000000001</v>
      </c>
      <c r="Q14" s="2">
        <v>14442.150000000001</v>
      </c>
      <c r="R14" s="2">
        <v>14442.150000000001</v>
      </c>
      <c r="S14" s="2">
        <v>14442.150000000001</v>
      </c>
      <c r="T14" s="2">
        <v>14442.150000000001</v>
      </c>
      <c r="U14" s="2">
        <v>14442.150000000001</v>
      </c>
      <c r="V14" s="2">
        <v>14442.150000000001</v>
      </c>
      <c r="W14" s="2">
        <v>138580.12</v>
      </c>
      <c r="X14" s="2">
        <v>138580.12</v>
      </c>
      <c r="Y14" s="2">
        <v>138580.12</v>
      </c>
      <c r="Z14" s="2">
        <v>88719.959999999992</v>
      </c>
      <c r="AA14" s="2">
        <v>88719.959999999992</v>
      </c>
      <c r="AB14" s="2">
        <v>98247.72</v>
      </c>
      <c r="AC14" s="2">
        <v>98247.72</v>
      </c>
      <c r="AD14" s="2">
        <v>98247.72</v>
      </c>
      <c r="AE14" s="2">
        <v>27312.58</v>
      </c>
      <c r="AF14" s="2">
        <v>27312.58</v>
      </c>
      <c r="AG14" s="2">
        <v>23603.279999999999</v>
      </c>
      <c r="AH14" s="2">
        <v>23603.279999999999</v>
      </c>
      <c r="AI14" s="2">
        <v>23603.279999999999</v>
      </c>
      <c r="AJ14" s="2">
        <v>23603.279999999999</v>
      </c>
      <c r="AK14" s="2">
        <v>23603.279999999999</v>
      </c>
      <c r="AL14" s="2">
        <v>23603.279999999999</v>
      </c>
      <c r="AM14" s="2">
        <v>23603.279999999999</v>
      </c>
      <c r="AN14" s="2">
        <v>13168.199999999999</v>
      </c>
      <c r="AO14" s="2">
        <v>13168.199999999999</v>
      </c>
      <c r="AP14" s="2">
        <v>13668.199999999999</v>
      </c>
      <c r="AQ14" s="2">
        <v>122251.09</v>
      </c>
      <c r="AR14" s="2">
        <v>122251.09</v>
      </c>
      <c r="AS14" s="2">
        <v>121751.09</v>
      </c>
      <c r="AT14" s="576">
        <v>10435.23</v>
      </c>
      <c r="AU14" s="576">
        <v>10435.23</v>
      </c>
      <c r="AV14" s="576">
        <v>17496.61</v>
      </c>
      <c r="AW14" s="576">
        <v>17496.61</v>
      </c>
      <c r="AX14" s="576">
        <v>18243.52</v>
      </c>
      <c r="AY14" s="576">
        <v>18243.52</v>
      </c>
      <c r="AZ14" s="576">
        <v>8580.3499999999985</v>
      </c>
      <c r="BA14" s="576">
        <v>8580.3499999999985</v>
      </c>
      <c r="BB14" s="576">
        <v>12701.150000000001</v>
      </c>
      <c r="BC14" s="576">
        <v>12701.150000000001</v>
      </c>
      <c r="BD14" s="576">
        <v>12701.150000000001</v>
      </c>
      <c r="BE14" s="576">
        <v>12701.150000000001</v>
      </c>
      <c r="BF14" s="576">
        <v>12701.150000000001</v>
      </c>
      <c r="BG14" s="576">
        <v>12701.150000000001</v>
      </c>
      <c r="BH14" s="576">
        <v>12701.150000000001</v>
      </c>
      <c r="BI14" s="576">
        <v>18310.919999999998</v>
      </c>
      <c r="BJ14" s="576">
        <v>12701.150000000001</v>
      </c>
      <c r="BK14" s="576">
        <v>12701.150000000001</v>
      </c>
      <c r="BL14" s="576">
        <v>128024.38</v>
      </c>
      <c r="BM14" s="576">
        <v>128024.38</v>
      </c>
      <c r="BN14" s="576">
        <v>13025.5</v>
      </c>
      <c r="BO14" s="576">
        <v>13025.5</v>
      </c>
      <c r="BP14" s="576">
        <v>13025.5</v>
      </c>
      <c r="BQ14" s="499">
        <v>20087.62</v>
      </c>
      <c r="BR14" s="499">
        <v>20513.39</v>
      </c>
      <c r="BS14" s="7">
        <v>20513.39</v>
      </c>
      <c r="BT14" s="7">
        <v>20513.39</v>
      </c>
      <c r="BU14" s="7">
        <v>20513.39</v>
      </c>
      <c r="BV14" s="7">
        <v>20513.39</v>
      </c>
      <c r="BW14" s="7">
        <v>11660.89</v>
      </c>
      <c r="BX14" s="7">
        <v>16468.489999999998</v>
      </c>
      <c r="BY14" s="7">
        <v>12053.76</v>
      </c>
      <c r="BZ14" s="7">
        <v>12053.76</v>
      </c>
      <c r="CA14" s="7">
        <v>12053.76</v>
      </c>
      <c r="CB14" s="7">
        <v>12053.76</v>
      </c>
      <c r="CC14" s="7">
        <v>12053.76</v>
      </c>
      <c r="CD14" s="7">
        <v>12053.76</v>
      </c>
      <c r="CE14" s="7">
        <v>12053.76</v>
      </c>
      <c r="CF14" s="7">
        <v>12053.76</v>
      </c>
      <c r="CG14" s="7">
        <v>12053.76</v>
      </c>
      <c r="CH14" s="7">
        <v>89962.81</v>
      </c>
      <c r="CI14" s="7">
        <v>89962.81</v>
      </c>
      <c r="CJ14" s="7">
        <v>89962.81</v>
      </c>
      <c r="CK14" s="7">
        <v>53806.28</v>
      </c>
      <c r="CL14" s="7">
        <v>8709.0600000000013</v>
      </c>
      <c r="CM14" s="7">
        <v>13516.66</v>
      </c>
      <c r="CN14" s="7">
        <v>20021.989999999998</v>
      </c>
      <c r="CO14" s="7">
        <v>20021.989999999998</v>
      </c>
      <c r="CP14" s="7">
        <v>20021.989999999998</v>
      </c>
      <c r="CQ14" s="7">
        <v>20021.989999999998</v>
      </c>
      <c r="CR14" s="7">
        <v>10927.14</v>
      </c>
      <c r="CS14" s="7">
        <v>10927.14</v>
      </c>
      <c r="CT14" s="7">
        <v>10927.14</v>
      </c>
      <c r="CU14" s="7">
        <v>10927.14</v>
      </c>
      <c r="CV14" s="7">
        <v>10927.14</v>
      </c>
      <c r="CW14" s="7">
        <v>10927.14</v>
      </c>
      <c r="CX14" s="7">
        <v>10927.14</v>
      </c>
      <c r="CY14" s="7">
        <v>10927.14</v>
      </c>
      <c r="CZ14" s="7">
        <v>10927.14</v>
      </c>
      <c r="DA14" s="7">
        <v>10927.14</v>
      </c>
      <c r="DB14" s="7">
        <v>10927.14</v>
      </c>
      <c r="DC14" s="7">
        <v>10927.14</v>
      </c>
      <c r="DD14" s="7">
        <v>10927.14</v>
      </c>
      <c r="DE14" s="7">
        <v>46338.619999999995</v>
      </c>
      <c r="DF14" s="7">
        <v>46338.619999999995</v>
      </c>
      <c r="DG14" s="7">
        <v>3683.73</v>
      </c>
      <c r="DH14" s="7">
        <v>3987.2000000000003</v>
      </c>
      <c r="DI14" s="7">
        <v>3987.2000000000003</v>
      </c>
      <c r="DJ14" s="7">
        <v>10492.53</v>
      </c>
      <c r="DK14" s="7">
        <v>15300.13</v>
      </c>
      <c r="DL14" s="7">
        <v>15300.13</v>
      </c>
      <c r="DM14" s="7">
        <v>13600.46</v>
      </c>
      <c r="DN14" s="7">
        <v>13600.46</v>
      </c>
      <c r="DO14" s="7">
        <v>13600.46</v>
      </c>
      <c r="DP14" s="7">
        <v>10927.13</v>
      </c>
      <c r="DQ14" s="7">
        <v>10927.13</v>
      </c>
      <c r="DR14" s="7">
        <v>10927.13</v>
      </c>
      <c r="DS14" s="7">
        <v>10927.13</v>
      </c>
      <c r="DT14" s="7">
        <v>10927.13</v>
      </c>
      <c r="DU14" s="7">
        <v>10927.13</v>
      </c>
      <c r="DV14" s="7">
        <v>10927.13</v>
      </c>
      <c r="DW14" s="7">
        <v>10927.13</v>
      </c>
      <c r="DX14" s="7">
        <v>11087.13</v>
      </c>
      <c r="DY14" s="7">
        <v>11087.13</v>
      </c>
      <c r="DZ14" s="7">
        <v>49262.310000000005</v>
      </c>
      <c r="EA14" s="576">
        <v>49262.310000000005</v>
      </c>
      <c r="EB14" s="7">
        <v>2764.27</v>
      </c>
      <c r="EC14" s="7">
        <v>2764.27</v>
      </c>
      <c r="ED14" s="7">
        <v>2764.27</v>
      </c>
      <c r="EE14" s="7">
        <v>2729.27</v>
      </c>
      <c r="EF14" s="7">
        <v>7536.869999999999</v>
      </c>
      <c r="EG14" s="7">
        <v>13716.16</v>
      </c>
      <c r="EH14" s="576">
        <v>13716.16</v>
      </c>
      <c r="EI14" s="576">
        <v>11591.22</v>
      </c>
      <c r="EJ14" s="576">
        <v>11591.22</v>
      </c>
      <c r="EK14" s="576">
        <v>11591.22</v>
      </c>
      <c r="EL14" s="576">
        <v>11287.75</v>
      </c>
      <c r="EM14" s="576">
        <v>11287.75</v>
      </c>
      <c r="EN14" s="576">
        <v>11287.75</v>
      </c>
      <c r="EO14" s="576">
        <v>11287.75</v>
      </c>
      <c r="EP14" s="576">
        <v>10925.199999999999</v>
      </c>
      <c r="EQ14" s="576">
        <v>10925.199999999999</v>
      </c>
      <c r="ER14" s="576">
        <v>11425.199999999999</v>
      </c>
      <c r="ES14" s="576">
        <v>11425.199999999999</v>
      </c>
      <c r="ET14" s="576">
        <v>11425.199999999999</v>
      </c>
      <c r="EU14" s="576">
        <v>10925.199999999999</v>
      </c>
      <c r="EV14" s="576">
        <v>10925.199999999999</v>
      </c>
      <c r="EW14" s="576">
        <v>68611.600000000006</v>
      </c>
      <c r="EX14" s="576">
        <v>68611.600000000006</v>
      </c>
      <c r="EY14" s="576">
        <v>68611.600000000006</v>
      </c>
      <c r="EZ14" s="576">
        <v>68611.600000000006</v>
      </c>
      <c r="FA14" s="576">
        <v>14827.630000000001</v>
      </c>
      <c r="FB14" s="576">
        <v>14827.630000000001</v>
      </c>
      <c r="FC14" s="576">
        <v>14827.630000000001</v>
      </c>
      <c r="FD14" s="576">
        <v>12115.720000000001</v>
      </c>
      <c r="FE14" s="576">
        <v>12115.720000000001</v>
      </c>
      <c r="FF14" s="576">
        <v>12115.720000000001</v>
      </c>
      <c r="FG14" s="576">
        <v>6611.42</v>
      </c>
      <c r="FH14" s="576">
        <v>6611.42</v>
      </c>
      <c r="FI14" s="576">
        <v>10732.22</v>
      </c>
      <c r="FJ14" s="576">
        <v>10732.22</v>
      </c>
      <c r="FK14" s="576">
        <v>10732.22</v>
      </c>
      <c r="FL14" s="576">
        <v>10732.22</v>
      </c>
      <c r="FM14" s="576">
        <v>10732.22</v>
      </c>
      <c r="FN14" s="576">
        <v>10732.22</v>
      </c>
      <c r="FO14" s="576">
        <v>10732.22</v>
      </c>
      <c r="FP14" s="576">
        <v>10732.22</v>
      </c>
      <c r="FQ14" s="576">
        <v>10732.22</v>
      </c>
      <c r="FR14" s="576">
        <v>10732.22</v>
      </c>
      <c r="FS14" s="576">
        <v>55545.07</v>
      </c>
      <c r="FT14" s="576">
        <v>55545.07</v>
      </c>
      <c r="FU14" s="962">
        <v>599.99</v>
      </c>
      <c r="FV14" s="962">
        <v>599.99</v>
      </c>
      <c r="FW14" s="962">
        <v>599.99</v>
      </c>
      <c r="FX14" s="962">
        <v>599.99</v>
      </c>
      <c r="FY14" s="962">
        <v>599.99</v>
      </c>
      <c r="FZ14" s="962">
        <v>801.62</v>
      </c>
      <c r="GA14" s="962">
        <v>1252.1099999999999</v>
      </c>
      <c r="GB14" s="962">
        <v>5372.91</v>
      </c>
      <c r="GC14" s="962">
        <v>5372.91</v>
      </c>
      <c r="GD14" s="962">
        <v>11463.08</v>
      </c>
      <c r="GE14" s="962">
        <v>11463.08</v>
      </c>
      <c r="GF14" s="962">
        <v>10612.01</v>
      </c>
      <c r="GG14" s="962">
        <v>10612.01</v>
      </c>
      <c r="GH14" s="962">
        <v>10612.01</v>
      </c>
      <c r="GI14" s="962">
        <v>10612.01</v>
      </c>
      <c r="GJ14" s="962">
        <v>10612.01</v>
      </c>
      <c r="GK14" s="962">
        <v>23590.05</v>
      </c>
      <c r="GL14" s="962">
        <v>11612.01</v>
      </c>
      <c r="GM14" s="962">
        <v>11612.01</v>
      </c>
      <c r="GN14" s="962">
        <v>11612.01</v>
      </c>
      <c r="GO14" s="962">
        <v>53276.5</v>
      </c>
      <c r="GP14" s="962">
        <v>53276.5</v>
      </c>
      <c r="GQ14" s="851">
        <v>1349.29</v>
      </c>
      <c r="GR14" s="851">
        <v>1349.29</v>
      </c>
      <c r="GS14" s="851">
        <v>1344.29</v>
      </c>
      <c r="GT14" s="851">
        <v>6323.51</v>
      </c>
      <c r="GU14" s="851">
        <v>6323.51</v>
      </c>
      <c r="GV14" s="851">
        <v>6323.51</v>
      </c>
      <c r="GW14" s="851">
        <v>6323.51</v>
      </c>
      <c r="GX14" s="851">
        <v>6323.51</v>
      </c>
      <c r="GY14" s="851">
        <v>6668.56</v>
      </c>
      <c r="GZ14" s="851">
        <v>6013.2800000000007</v>
      </c>
      <c r="HA14" s="851">
        <v>6513.2800000000007</v>
      </c>
      <c r="HB14" s="851">
        <v>6513.2800000000007</v>
      </c>
      <c r="HC14" s="851">
        <v>6513.2800000000007</v>
      </c>
      <c r="HD14" s="851">
        <v>6013.2800000000007</v>
      </c>
      <c r="HE14" s="851">
        <v>6013.2800000000007</v>
      </c>
      <c r="HF14" s="851">
        <v>6013.2800000000007</v>
      </c>
      <c r="HG14" s="851">
        <v>11589.279999999999</v>
      </c>
      <c r="HH14" s="851">
        <v>11589.279999999999</v>
      </c>
      <c r="HI14" s="851">
        <v>11589.279999999999</v>
      </c>
      <c r="HJ14" s="851">
        <v>11589.279999999999</v>
      </c>
      <c r="HK14" s="851">
        <v>11589.279999999999</v>
      </c>
    </row>
    <row r="15" spans="1:219" ht="18.75">
      <c r="A15" s="10" t="s">
        <v>12</v>
      </c>
      <c r="B15" s="11">
        <f t="shared" ref="B15:AG15" si="88">B3-B9</f>
        <v>102478912.64</v>
      </c>
      <c r="C15" s="11">
        <f t="shared" si="88"/>
        <v>102577921.16</v>
      </c>
      <c r="D15" s="11">
        <f t="shared" si="88"/>
        <v>102570687.95</v>
      </c>
      <c r="E15" s="11">
        <f t="shared" si="88"/>
        <v>102480534.66</v>
      </c>
      <c r="F15" s="11">
        <f t="shared" si="88"/>
        <v>102588394.99000001</v>
      </c>
      <c r="G15" s="11">
        <f t="shared" si="88"/>
        <v>102500492.16000001</v>
      </c>
      <c r="H15" s="11">
        <f t="shared" si="88"/>
        <v>102568693.09000002</v>
      </c>
      <c r="I15" s="11">
        <f t="shared" si="88"/>
        <v>102515275.30999999</v>
      </c>
      <c r="J15" s="11">
        <f t="shared" si="88"/>
        <v>102551162.62</v>
      </c>
      <c r="K15" s="11">
        <f t="shared" si="88"/>
        <v>102518137.87</v>
      </c>
      <c r="L15" s="11">
        <f t="shared" si="88"/>
        <v>102604762.42999999</v>
      </c>
      <c r="M15" s="11">
        <f t="shared" si="88"/>
        <v>102464141.39</v>
      </c>
      <c r="N15" s="11">
        <f t="shared" si="88"/>
        <v>102673385.84</v>
      </c>
      <c r="O15" s="11">
        <f t="shared" si="88"/>
        <v>102653035.81999999</v>
      </c>
      <c r="P15" s="11">
        <f t="shared" si="88"/>
        <v>102681835.50000001</v>
      </c>
      <c r="Q15" s="11">
        <f t="shared" si="88"/>
        <v>102726954.33000001</v>
      </c>
      <c r="R15" s="11">
        <f t="shared" si="88"/>
        <v>102767956.03999999</v>
      </c>
      <c r="S15" s="11">
        <f t="shared" si="88"/>
        <v>102810933.41</v>
      </c>
      <c r="T15" s="11">
        <f t="shared" si="88"/>
        <v>102991922.39000002</v>
      </c>
      <c r="U15" s="11">
        <f t="shared" si="88"/>
        <v>102623002.48</v>
      </c>
      <c r="V15" s="11">
        <f t="shared" si="88"/>
        <v>102831528.26000001</v>
      </c>
      <c r="W15" s="11">
        <f t="shared" si="88"/>
        <v>103069753.81</v>
      </c>
      <c r="X15" s="11">
        <f t="shared" si="88"/>
        <v>103124673.34999999</v>
      </c>
      <c r="Y15" s="11">
        <f t="shared" si="88"/>
        <v>103101868.98999999</v>
      </c>
      <c r="Z15" s="11">
        <f t="shared" si="88"/>
        <v>102926094.48999999</v>
      </c>
      <c r="AA15" s="11">
        <f t="shared" si="88"/>
        <v>103095343.53000002</v>
      </c>
      <c r="AB15" s="11">
        <f t="shared" si="88"/>
        <v>103120905.11999999</v>
      </c>
      <c r="AC15" s="11">
        <f t="shared" si="88"/>
        <v>103141429.39000002</v>
      </c>
      <c r="AD15" s="11">
        <f t="shared" si="88"/>
        <v>102998491.94</v>
      </c>
      <c r="AE15" s="11">
        <f t="shared" si="88"/>
        <v>103101557.64000002</v>
      </c>
      <c r="AF15" s="11">
        <f t="shared" si="88"/>
        <v>102910047.84</v>
      </c>
      <c r="AG15" s="11">
        <f t="shared" si="88"/>
        <v>102959353.98</v>
      </c>
      <c r="AH15" s="11">
        <f t="shared" ref="AH15:BL15" si="89">AH3-AH9</f>
        <v>103153287.45999999</v>
      </c>
      <c r="AI15" s="11">
        <f t="shared" si="89"/>
        <v>103080818.61999999</v>
      </c>
      <c r="AJ15" s="11">
        <f t="shared" si="89"/>
        <v>102888837.86999999</v>
      </c>
      <c r="AK15" s="11">
        <f t="shared" si="89"/>
        <v>103117066.70999999</v>
      </c>
      <c r="AL15" s="11">
        <f t="shared" si="89"/>
        <v>103124071.37</v>
      </c>
      <c r="AM15" s="11">
        <f t="shared" si="89"/>
        <v>103081191.66</v>
      </c>
      <c r="AN15" s="11">
        <f t="shared" si="89"/>
        <v>103168014.41999999</v>
      </c>
      <c r="AO15" s="11">
        <f t="shared" si="89"/>
        <v>103054469.45999999</v>
      </c>
      <c r="AP15" s="11">
        <f t="shared" si="89"/>
        <v>102805581.83</v>
      </c>
      <c r="AQ15" s="11">
        <f t="shared" si="89"/>
        <v>102861385.84999999</v>
      </c>
      <c r="AR15" s="11">
        <f t="shared" si="89"/>
        <v>103227221.22</v>
      </c>
      <c r="AS15" s="11">
        <f t="shared" si="89"/>
        <v>103131060.61</v>
      </c>
      <c r="AT15" s="11">
        <f t="shared" si="89"/>
        <v>103065452.24000001</v>
      </c>
      <c r="AU15" s="11">
        <f t="shared" si="89"/>
        <v>103076425.29000001</v>
      </c>
      <c r="AV15" s="11">
        <f t="shared" si="89"/>
        <v>103172072.86</v>
      </c>
      <c r="AW15" s="11">
        <f t="shared" si="89"/>
        <v>103191636.90000001</v>
      </c>
      <c r="AX15" s="11">
        <f t="shared" si="89"/>
        <v>102986854.48000002</v>
      </c>
      <c r="AY15" s="11">
        <f t="shared" si="89"/>
        <v>103085097.08</v>
      </c>
      <c r="AZ15" s="11">
        <f t="shared" si="89"/>
        <v>103278006.23</v>
      </c>
      <c r="BA15" s="11">
        <f t="shared" si="89"/>
        <v>103290903.53</v>
      </c>
      <c r="BB15" s="11">
        <f t="shared" si="89"/>
        <v>103234058.82000001</v>
      </c>
      <c r="BC15" s="11">
        <f t="shared" si="89"/>
        <v>103311799.77000001</v>
      </c>
      <c r="BD15" s="11">
        <f t="shared" si="89"/>
        <v>103121347.81999999</v>
      </c>
      <c r="BE15" s="11">
        <f t="shared" si="89"/>
        <v>103025029.91</v>
      </c>
      <c r="BF15" s="11">
        <f t="shared" si="89"/>
        <v>103350228.07000001</v>
      </c>
      <c r="BG15" s="11">
        <f t="shared" si="89"/>
        <v>103389738.23999999</v>
      </c>
      <c r="BH15" s="11">
        <f t="shared" si="89"/>
        <v>103459859.10800001</v>
      </c>
      <c r="BI15" s="11">
        <f t="shared" si="89"/>
        <v>103220875.44999999</v>
      </c>
      <c r="BJ15" s="11">
        <f t="shared" si="89"/>
        <v>103329865.78</v>
      </c>
      <c r="BK15" s="11">
        <f t="shared" si="89"/>
        <v>103400115.54000001</v>
      </c>
      <c r="BL15" s="11">
        <f t="shared" si="89"/>
        <v>103340712.14</v>
      </c>
      <c r="BM15" s="11">
        <f t="shared" ref="BM15:BN15" si="90">BM3-BM9</f>
        <v>103295006.19000001</v>
      </c>
      <c r="BN15" s="11">
        <f t="shared" si="90"/>
        <v>103200425.55</v>
      </c>
      <c r="BO15" s="11">
        <f t="shared" ref="BO15:BP15" si="91">BO3-BO9</f>
        <v>103301577.26000002</v>
      </c>
      <c r="BP15" s="11">
        <f t="shared" si="91"/>
        <v>103210272.73999999</v>
      </c>
      <c r="BQ15" s="11">
        <f t="shared" ref="BQ15:BS15" si="92">BQ3-BQ9</f>
        <v>103177310.81999999</v>
      </c>
      <c r="BR15" s="11">
        <f t="shared" si="92"/>
        <v>103374136.47</v>
      </c>
      <c r="BS15" s="11">
        <f t="shared" si="92"/>
        <v>103314786.92000002</v>
      </c>
      <c r="BT15" s="11">
        <f t="shared" ref="BT15:BU15" si="93">BT3-BT9</f>
        <v>103331241.43000001</v>
      </c>
      <c r="BU15" s="11">
        <f t="shared" si="93"/>
        <v>103377227.20999999</v>
      </c>
      <c r="BV15" s="11">
        <f t="shared" ref="BV15:BW15" si="94">BV3-BV9</f>
        <v>103342922.74000001</v>
      </c>
      <c r="BW15" s="11">
        <f t="shared" si="94"/>
        <v>103360916.41000001</v>
      </c>
      <c r="BX15" s="11">
        <f t="shared" ref="BX15:BY15" si="95">BX3-BX9</f>
        <v>103529262.19</v>
      </c>
      <c r="BY15" s="11">
        <f t="shared" si="95"/>
        <v>103549627.31</v>
      </c>
      <c r="BZ15" s="11">
        <f t="shared" ref="BZ15:CA15" si="96">BZ3-BZ9</f>
        <v>103581572.59000002</v>
      </c>
      <c r="CA15" s="11">
        <f t="shared" si="96"/>
        <v>103671392.12</v>
      </c>
      <c r="CB15" s="11">
        <f t="shared" ref="CB15:CC15" si="97">CB3-CB9</f>
        <v>103586271.11819999</v>
      </c>
      <c r="CC15" s="11">
        <f t="shared" si="97"/>
        <v>103600405.55</v>
      </c>
      <c r="CD15" s="11">
        <f t="shared" ref="CD15:CE15" si="98">CD3-CD9</f>
        <v>103523952.81</v>
      </c>
      <c r="CE15" s="11">
        <f t="shared" si="98"/>
        <v>103488745.28</v>
      </c>
      <c r="CF15" s="11">
        <f t="shared" ref="CF15:CG15" si="99">CF3-CF9</f>
        <v>103540348.52000001</v>
      </c>
      <c r="CG15" s="11">
        <f t="shared" si="99"/>
        <v>103367262.05999999</v>
      </c>
      <c r="CH15" s="11">
        <f t="shared" ref="CH15:CI15" si="100">CH3-CH9</f>
        <v>103424354.76000001</v>
      </c>
      <c r="CI15" s="11">
        <f t="shared" si="100"/>
        <v>103438530.42999999</v>
      </c>
      <c r="CJ15" s="11">
        <f t="shared" ref="CJ15:CK15" si="101">CJ3-CJ9</f>
        <v>103292825.42000002</v>
      </c>
      <c r="CK15" s="11">
        <f t="shared" si="101"/>
        <v>103530223.22000001</v>
      </c>
      <c r="CL15" s="11">
        <f t="shared" ref="CL15:CM15" si="102">CL3-CL9</f>
        <v>103813273.87</v>
      </c>
      <c r="CM15" s="11">
        <f t="shared" si="102"/>
        <v>103553371.3</v>
      </c>
      <c r="CN15" s="11">
        <f t="shared" ref="CN15:CO15" si="103">CN3-CN9</f>
        <v>103797130.35000001</v>
      </c>
      <c r="CO15" s="11">
        <f t="shared" si="103"/>
        <v>103847273.48999999</v>
      </c>
      <c r="CP15" s="11">
        <f t="shared" ref="CP15:CQ15" si="104">CP3-CP9</f>
        <v>103848754.68000002</v>
      </c>
      <c r="CQ15" s="11">
        <f t="shared" si="104"/>
        <v>103750747.46000001</v>
      </c>
      <c r="CR15" s="11">
        <f t="shared" ref="CR15:CS15" si="105">CR3-CR9</f>
        <v>103478193.85529999</v>
      </c>
      <c r="CS15" s="11">
        <f t="shared" si="105"/>
        <v>103644767.55999999</v>
      </c>
      <c r="CT15" s="11">
        <f t="shared" ref="CT15:CU15" si="106">CT3-CT9</f>
        <v>103573094.67000002</v>
      </c>
      <c r="CU15" s="11">
        <f t="shared" si="106"/>
        <v>103664347.88</v>
      </c>
      <c r="CV15" s="11">
        <f t="shared" ref="CV15:CW15" si="107">CV3-CV9</f>
        <v>103865521.7</v>
      </c>
      <c r="CW15" s="11">
        <f t="shared" si="107"/>
        <v>103921418.37</v>
      </c>
      <c r="CX15" s="11">
        <f t="shared" ref="CX15:CY15" si="108">CX3-CX9</f>
        <v>103867729.37</v>
      </c>
      <c r="CY15" s="11">
        <f t="shared" si="108"/>
        <v>103877301.98000002</v>
      </c>
      <c r="CZ15" s="11">
        <f t="shared" ref="CZ15:DA15" si="109">CZ3-CZ9</f>
        <v>103749728.5</v>
      </c>
      <c r="DA15" s="11">
        <f t="shared" si="109"/>
        <v>103900133.83</v>
      </c>
      <c r="DB15" s="11">
        <f t="shared" ref="DB15:DC15" si="110">DB3-DB9</f>
        <v>103777750.2</v>
      </c>
      <c r="DC15" s="11">
        <f t="shared" si="110"/>
        <v>103833099.2</v>
      </c>
      <c r="DD15" s="11">
        <f t="shared" ref="DD15:DE15" si="111">DD3-DD9</f>
        <v>103978681.96000001</v>
      </c>
      <c r="DE15" s="11">
        <f t="shared" si="111"/>
        <v>104056253.55</v>
      </c>
      <c r="DF15" s="11">
        <f t="shared" ref="DF15:DG15" si="112">DF3-DF9</f>
        <v>104033185.42000002</v>
      </c>
      <c r="DG15" s="11">
        <f t="shared" si="112"/>
        <v>104104679.14999999</v>
      </c>
      <c r="DH15" s="11">
        <f t="shared" ref="DH15:DI15" si="113">DH3-DH9</f>
        <v>103784571.53999999</v>
      </c>
      <c r="DI15" s="11">
        <f t="shared" si="113"/>
        <v>103900929.28</v>
      </c>
      <c r="DJ15" s="11">
        <f t="shared" ref="DJ15:DK15" si="114">DJ3-DJ9</f>
        <v>104136036.53</v>
      </c>
      <c r="DK15" s="11">
        <f t="shared" si="114"/>
        <v>103875868.13</v>
      </c>
      <c r="DL15" s="11">
        <f t="shared" ref="DL15:DM15" si="115">DL3-DL9</f>
        <v>103760615.83000001</v>
      </c>
      <c r="DM15" s="11">
        <f t="shared" si="115"/>
        <v>103936494.35000001</v>
      </c>
      <c r="DN15" s="11">
        <f t="shared" ref="DN15:DO15" si="116">DN3-DN9</f>
        <v>103862334.84999999</v>
      </c>
      <c r="DO15" s="11">
        <f t="shared" si="116"/>
        <v>103714018.67999999</v>
      </c>
      <c r="DP15" s="11">
        <f t="shared" ref="DP15:DQ15" si="117">DP3-DP9</f>
        <v>103750050.11999999</v>
      </c>
      <c r="DQ15" s="11">
        <f t="shared" si="117"/>
        <v>103942313.34000002</v>
      </c>
      <c r="DR15" s="11">
        <f t="shared" ref="DR15:DS15" si="118">DR3-DR9</f>
        <v>103954778.77</v>
      </c>
      <c r="DS15" s="11">
        <f t="shared" si="118"/>
        <v>103687527.47999999</v>
      </c>
      <c r="DT15" s="11">
        <f t="shared" ref="DT15:DU15" si="119">DT3-DT9</f>
        <v>103847209.28</v>
      </c>
      <c r="DU15" s="11">
        <f t="shared" si="119"/>
        <v>103979897.60000001</v>
      </c>
      <c r="DV15" s="11">
        <f t="shared" ref="DV15:DW15" si="120">DV3-DV9</f>
        <v>103958013.42</v>
      </c>
      <c r="DW15" s="11">
        <f t="shared" si="120"/>
        <v>103979442.75</v>
      </c>
      <c r="DX15" s="11">
        <f t="shared" ref="DX15:DY15" si="121">DX3-DX9</f>
        <v>103774167.92</v>
      </c>
      <c r="DY15" s="11">
        <f t="shared" si="121"/>
        <v>103876351.06999999</v>
      </c>
      <c r="DZ15" s="11">
        <f t="shared" ref="DZ15:EA15" si="122">DZ3-DZ9</f>
        <v>104009280.09</v>
      </c>
      <c r="EA15" s="797">
        <f t="shared" si="122"/>
        <v>104080308.86000001</v>
      </c>
      <c r="EB15" s="11">
        <f t="shared" ref="EB15:EC15" si="123">EB3-EB9</f>
        <v>104093258.48999999</v>
      </c>
      <c r="EC15" s="11">
        <f t="shared" si="123"/>
        <v>103909664.61000001</v>
      </c>
      <c r="ED15" s="11">
        <f t="shared" ref="ED15:EE15" si="124">ED3-ED9</f>
        <v>104053719.17999999</v>
      </c>
      <c r="EE15" s="11">
        <f t="shared" si="124"/>
        <v>104103973.55000001</v>
      </c>
      <c r="EF15" s="11">
        <f t="shared" ref="EF15:EG15" si="125">EF3-EF9</f>
        <v>103934448.13000003</v>
      </c>
      <c r="EG15" s="11">
        <f t="shared" si="125"/>
        <v>103976304.75999999</v>
      </c>
      <c r="EH15" s="797">
        <f t="shared" ref="EH15:EI15" si="126">EH3-EH9</f>
        <v>104078734.08999999</v>
      </c>
      <c r="EI15" s="797">
        <f t="shared" si="126"/>
        <v>104015977.87</v>
      </c>
      <c r="EJ15" s="797">
        <f t="shared" ref="EJ15:EK15" si="127">EJ3-EJ9</f>
        <v>104146493.13</v>
      </c>
      <c r="EK15" s="797">
        <f t="shared" si="127"/>
        <v>104069105.13000001</v>
      </c>
      <c r="EL15" s="797">
        <f t="shared" ref="EL15:EM15" si="128">EL3-EL9</f>
        <v>103934024.2</v>
      </c>
      <c r="EM15" s="797">
        <f t="shared" si="128"/>
        <v>103869348.81999999</v>
      </c>
      <c r="EN15" s="797">
        <f t="shared" ref="EN15:EO15" si="129">EN3-EN9</f>
        <v>103956829.53</v>
      </c>
      <c r="EO15" s="797">
        <f t="shared" si="129"/>
        <v>103996385.64000002</v>
      </c>
      <c r="EP15" s="797">
        <f t="shared" ref="EP15:EQ15" si="130">EP3-EP9</f>
        <v>104025191.33000001</v>
      </c>
      <c r="EQ15" s="797">
        <f t="shared" si="130"/>
        <v>103971469.50000001</v>
      </c>
      <c r="ER15" s="797">
        <f t="shared" ref="ER15:ES15" si="131">ER3-ER9</f>
        <v>103925294.3</v>
      </c>
      <c r="ES15" s="797">
        <f t="shared" si="131"/>
        <v>104017005.27</v>
      </c>
      <c r="ET15" s="797">
        <f t="shared" ref="ET15:EU15" si="132">ET3-ET9</f>
        <v>104124933.16</v>
      </c>
      <c r="EU15" s="797">
        <f t="shared" si="132"/>
        <v>104007476.06</v>
      </c>
      <c r="EV15" s="797">
        <f t="shared" ref="EV15:EW15" si="133">EV3-EV9</f>
        <v>104033643.42</v>
      </c>
      <c r="EW15" s="797">
        <f t="shared" si="133"/>
        <v>104186522.44999999</v>
      </c>
      <c r="EX15" s="797">
        <f t="shared" ref="EX15:EY15" si="134">EX3-EX9</f>
        <v>104140825.14</v>
      </c>
      <c r="EY15" s="797">
        <f t="shared" si="134"/>
        <v>104278357.76000001</v>
      </c>
      <c r="EZ15" s="797">
        <f t="shared" ref="EZ15:FA15" si="135">EZ3-EZ9</f>
        <v>104345287.17</v>
      </c>
      <c r="FA15" s="797">
        <f t="shared" si="135"/>
        <v>104320521.11000001</v>
      </c>
      <c r="FB15" s="797">
        <f t="shared" ref="FB15:FC15" si="136">FB3-FB9</f>
        <v>104399375.03999999</v>
      </c>
      <c r="FC15" s="797">
        <f t="shared" si="136"/>
        <v>104253063.87</v>
      </c>
      <c r="FD15" s="797">
        <f t="shared" ref="FD15:FE15" si="137">FD3-FD9</f>
        <v>104335472.3</v>
      </c>
      <c r="FE15" s="797">
        <f t="shared" si="137"/>
        <v>104295114.88999999</v>
      </c>
      <c r="FF15" s="797">
        <f t="shared" ref="FF15:FG15" si="138">FF3-FF9</f>
        <v>104531090.35000001</v>
      </c>
      <c r="FG15" s="797">
        <f t="shared" si="138"/>
        <v>104544963.65000001</v>
      </c>
      <c r="FH15" s="797">
        <f t="shared" ref="FH15:FI15" si="139">FH3-FH9</f>
        <v>104558883.52000001</v>
      </c>
      <c r="FI15" s="797">
        <f t="shared" si="139"/>
        <v>104465160.92</v>
      </c>
      <c r="FJ15" s="797">
        <f t="shared" ref="FJ15:FK15" si="140">FJ3-FJ9</f>
        <v>104492169.29000001</v>
      </c>
      <c r="FK15" s="797">
        <f t="shared" si="140"/>
        <v>104549524.11999999</v>
      </c>
      <c r="FL15" s="797">
        <f t="shared" ref="FL15:FM15" si="141">FL3-FL9</f>
        <v>104569672.82000001</v>
      </c>
      <c r="FM15" s="797">
        <f t="shared" si="141"/>
        <v>104591159.7</v>
      </c>
      <c r="FN15" s="797">
        <f t="shared" ref="FN15:FO15" si="142">FN3-FN9</f>
        <v>104603020.84999999</v>
      </c>
      <c r="FO15" s="797">
        <f t="shared" si="142"/>
        <v>104689772.44000001</v>
      </c>
      <c r="FP15" s="797">
        <f t="shared" ref="FP15:FQ15" si="143">FP3-FP9</f>
        <v>104680779.45</v>
      </c>
      <c r="FQ15" s="797">
        <f t="shared" si="143"/>
        <v>104520415.96000001</v>
      </c>
      <c r="FR15" s="797">
        <f t="shared" ref="FR15:FS15" si="144">FR3-FR9</f>
        <v>104755997.77</v>
      </c>
      <c r="FS15" s="797">
        <f t="shared" si="144"/>
        <v>104812033.66</v>
      </c>
      <c r="FT15" s="797">
        <f t="shared" ref="FT15:FU15" si="145">FT3-FT9</f>
        <v>104792199.75999999</v>
      </c>
      <c r="FU15" s="797">
        <f t="shared" si="145"/>
        <v>104654310.03</v>
      </c>
      <c r="FV15" s="797">
        <f t="shared" ref="FV15:FW15" si="146">FV3-FV9</f>
        <v>104783255.93999998</v>
      </c>
      <c r="FW15" s="797">
        <f t="shared" si="146"/>
        <v>104763794</v>
      </c>
      <c r="FX15" s="797">
        <f t="shared" ref="FX15:FY15" si="147">FX3-FX9</f>
        <v>104772607.06</v>
      </c>
      <c r="FY15" s="797">
        <f t="shared" si="147"/>
        <v>104792432.05000001</v>
      </c>
      <c r="FZ15" s="797">
        <f t="shared" ref="FZ15:GA15" si="148">FZ3-FZ9</f>
        <v>104759728.38</v>
      </c>
      <c r="GA15" s="797">
        <f t="shared" si="148"/>
        <v>104743905.58999999</v>
      </c>
      <c r="GB15" s="797">
        <f t="shared" ref="GB15:GC15" si="149">GB3-GB9</f>
        <v>104766739.86</v>
      </c>
      <c r="GC15" s="797">
        <f t="shared" si="149"/>
        <v>104761185.99000001</v>
      </c>
      <c r="GD15" s="797">
        <f t="shared" ref="GD15:GE15" si="150">GD3-GD9</f>
        <v>104722628.9506</v>
      </c>
      <c r="GE15" s="797">
        <f t="shared" si="150"/>
        <v>104808919.47</v>
      </c>
      <c r="GF15" s="797">
        <f t="shared" ref="GF15:GG15" si="151">GF3-GF9</f>
        <v>104843100.90000001</v>
      </c>
      <c r="GG15" s="797">
        <f t="shared" si="151"/>
        <v>104906029.67999999</v>
      </c>
      <c r="GH15" s="797">
        <f t="shared" ref="GH15:GI15" si="152">GH3-GH9</f>
        <v>104801456.29000001</v>
      </c>
      <c r="GI15" s="797">
        <f t="shared" si="152"/>
        <v>104912645.43000001</v>
      </c>
      <c r="GJ15" s="797">
        <f t="shared" ref="GJ15:GK15" si="153">GJ3-GJ9</f>
        <v>104753109.04000001</v>
      </c>
      <c r="GK15" s="797">
        <f t="shared" si="153"/>
        <v>104665447.30999999</v>
      </c>
      <c r="GL15" s="797">
        <f t="shared" ref="GL15:GM15" si="154">GL3-GL9</f>
        <v>104753907.46000001</v>
      </c>
      <c r="GM15" s="797">
        <f t="shared" si="154"/>
        <v>104763005.46000001</v>
      </c>
      <c r="GN15" s="797">
        <f t="shared" ref="GN15:GO15" si="155">GN3-GN9</f>
        <v>104790746.13</v>
      </c>
      <c r="GO15" s="797">
        <f t="shared" si="155"/>
        <v>104912789.05</v>
      </c>
      <c r="GP15" s="797">
        <f t="shared" ref="GP15:GQ15" si="156">GP3-GP9</f>
        <v>104872632.59</v>
      </c>
      <c r="GQ15" s="797">
        <f t="shared" si="156"/>
        <v>104909215.43000001</v>
      </c>
      <c r="GR15" s="797">
        <f t="shared" ref="GR15:GS15" si="157">GR3-GR9</f>
        <v>104940408</v>
      </c>
      <c r="GS15" s="797">
        <f t="shared" si="157"/>
        <v>104837365.63</v>
      </c>
      <c r="GT15" s="797">
        <f t="shared" ref="GT15" si="158">GT3-GT9</f>
        <v>104887179.50000001</v>
      </c>
      <c r="GU15" s="797">
        <f t="shared" ref="GU15:GZ15" si="159">GU3-GU9</f>
        <v>104875116.37</v>
      </c>
      <c r="GV15" s="797">
        <f t="shared" si="159"/>
        <v>104922675.22</v>
      </c>
      <c r="GW15" s="797">
        <f t="shared" si="159"/>
        <v>104954941.57000001</v>
      </c>
      <c r="GX15" s="797">
        <f t="shared" si="159"/>
        <v>104982129.3</v>
      </c>
      <c r="GY15" s="797">
        <f t="shared" si="159"/>
        <v>104838798.18999998</v>
      </c>
      <c r="GZ15" s="797">
        <f t="shared" si="159"/>
        <v>104922376.97</v>
      </c>
      <c r="HA15" s="797">
        <f t="shared" ref="HA15:HB15" si="160">HA3-HA9</f>
        <v>104920326.12</v>
      </c>
      <c r="HB15" s="797">
        <f t="shared" si="160"/>
        <v>104995795.3</v>
      </c>
      <c r="HC15" s="797">
        <f t="shared" ref="HC15:HD15" si="161">HC3-HC9</f>
        <v>105059361</v>
      </c>
      <c r="HD15" s="797">
        <f t="shared" si="161"/>
        <v>105058841.27</v>
      </c>
      <c r="HE15" s="797">
        <f t="shared" ref="HE15:HF15" si="162">HE3-HE9</f>
        <v>105028055.12</v>
      </c>
      <c r="HF15" s="797">
        <f t="shared" si="162"/>
        <v>105138047.27</v>
      </c>
      <c r="HG15" s="797">
        <f t="shared" ref="HG15:HH15" si="163">HG3-HG9</f>
        <v>105073386.91</v>
      </c>
      <c r="HH15" s="797">
        <f t="shared" si="163"/>
        <v>105040272.39000002</v>
      </c>
      <c r="HI15" s="797">
        <f t="shared" ref="HI15:HJ15" si="164">HI3-HI9</f>
        <v>104881121.61999999</v>
      </c>
      <c r="HJ15" s="797">
        <f t="shared" si="164"/>
        <v>105014683.47</v>
      </c>
      <c r="HK15" s="797">
        <f t="shared" ref="HK15" si="165">HK3-HK9</f>
        <v>105047979.90000001</v>
      </c>
    </row>
    <row r="16" spans="1:219">
      <c r="A16" s="12" t="s">
        <v>13</v>
      </c>
      <c r="B16" s="13">
        <v>42763421.185795203</v>
      </c>
      <c r="C16" s="13">
        <v>42763421.185795203</v>
      </c>
      <c r="D16" s="13">
        <v>42764495.087193601</v>
      </c>
      <c r="E16" s="13">
        <v>42767492.792735197</v>
      </c>
      <c r="F16" s="13">
        <v>42770127.3533656</v>
      </c>
      <c r="G16" s="13">
        <v>42771249.675075099</v>
      </c>
      <c r="H16" s="13">
        <v>42771249.675075099</v>
      </c>
      <c r="I16" s="13">
        <v>42771249.675075099</v>
      </c>
      <c r="J16" s="13">
        <v>42771249.675075099</v>
      </c>
      <c r="K16" s="13">
        <v>42749103.249765001</v>
      </c>
      <c r="L16" s="13">
        <v>42749103.249765001</v>
      </c>
      <c r="M16" s="13">
        <v>42749103.249765001</v>
      </c>
      <c r="N16" s="13">
        <v>42752825.183554798</v>
      </c>
      <c r="O16" s="13">
        <v>42752825.183554798</v>
      </c>
      <c r="P16" s="13">
        <v>42748994.353</v>
      </c>
      <c r="Q16" s="13">
        <v>42748994.352959201</v>
      </c>
      <c r="R16" s="13">
        <v>42748994.352959201</v>
      </c>
      <c r="S16" s="13">
        <v>42748994.352959201</v>
      </c>
      <c r="T16" s="13">
        <v>42748994.352959201</v>
      </c>
      <c r="U16" s="13">
        <v>42748994.352959201</v>
      </c>
      <c r="V16" s="13">
        <v>42756796.690954901</v>
      </c>
      <c r="W16" s="13">
        <v>42757271.112621598</v>
      </c>
      <c r="X16" s="13">
        <v>42757271.112621598</v>
      </c>
      <c r="Y16" s="13">
        <v>42757271.112621598</v>
      </c>
      <c r="Z16" s="13">
        <v>42758333.597033001</v>
      </c>
      <c r="AA16" s="13">
        <v>42740998.3675448</v>
      </c>
      <c r="AB16" s="13">
        <v>42746554.948293298</v>
      </c>
      <c r="AC16" s="13">
        <v>42746554.948293298</v>
      </c>
      <c r="AD16" s="13">
        <v>42747673.123656303</v>
      </c>
      <c r="AE16" s="13">
        <v>42727034.1184</v>
      </c>
      <c r="AF16" s="13">
        <v>42727034.1183929</v>
      </c>
      <c r="AG16" s="13">
        <v>42727034.1183929</v>
      </c>
      <c r="AH16" s="13">
        <v>42727034.1183929</v>
      </c>
      <c r="AI16" s="13">
        <v>42720032.077982202</v>
      </c>
      <c r="AJ16" s="13">
        <v>42723256.362131499</v>
      </c>
      <c r="AK16" s="13">
        <v>42723256.362131499</v>
      </c>
      <c r="AL16" s="13">
        <v>42723256.362131499</v>
      </c>
      <c r="AM16" s="13">
        <v>42723256.362131499</v>
      </c>
      <c r="AN16" s="13">
        <v>42731960.0681049</v>
      </c>
      <c r="AO16" s="13">
        <v>42731960.0681049</v>
      </c>
      <c r="AP16" s="13">
        <v>42704768.871170603</v>
      </c>
      <c r="AQ16" s="13">
        <v>42704768.871170603</v>
      </c>
      <c r="AR16" s="13">
        <v>42704768.871170603</v>
      </c>
      <c r="AS16" s="13">
        <v>42704768.871170603</v>
      </c>
      <c r="AT16" s="13">
        <v>42704768.871170603</v>
      </c>
      <c r="AU16" s="13">
        <v>42704768.871170603</v>
      </c>
      <c r="AV16" s="13">
        <v>42711845.563586302</v>
      </c>
      <c r="AW16" s="13">
        <v>42711845.563586302</v>
      </c>
      <c r="AX16" s="13">
        <v>42713459.804843597</v>
      </c>
      <c r="AY16" s="13">
        <v>42706898.9970439</v>
      </c>
      <c r="AZ16" s="13">
        <v>42711382.4943</v>
      </c>
      <c r="BA16" s="13">
        <v>42711382.4942834</v>
      </c>
      <c r="BB16" s="13">
        <v>42711382.4942834</v>
      </c>
      <c r="BC16" s="13">
        <v>42711382.4942834</v>
      </c>
      <c r="BD16" s="13">
        <v>42711382.4942834</v>
      </c>
      <c r="BE16" s="13">
        <v>42711382.4942834</v>
      </c>
      <c r="BF16" s="13">
        <v>42711382.4942834</v>
      </c>
      <c r="BG16" s="13">
        <v>42711382.4942834</v>
      </c>
      <c r="BH16" s="13">
        <v>42711382.4942834</v>
      </c>
      <c r="BI16" s="13">
        <v>42674737.1529525</v>
      </c>
      <c r="BJ16" s="13">
        <v>42674737.1529525</v>
      </c>
      <c r="BK16" s="13">
        <v>42674737.1529525</v>
      </c>
      <c r="BL16" s="13">
        <v>42675466.638386503</v>
      </c>
      <c r="BM16" s="13">
        <v>42675466.638386503</v>
      </c>
      <c r="BN16" s="13">
        <v>42684142.6124966</v>
      </c>
      <c r="BO16" s="13">
        <v>42678410.648974799</v>
      </c>
      <c r="BP16" s="13">
        <v>42675466.638400003</v>
      </c>
      <c r="BQ16" s="13">
        <v>42681103.7671929</v>
      </c>
      <c r="BR16" s="13">
        <v>42685089.040218703</v>
      </c>
      <c r="BS16" s="13">
        <v>42643283.348751299</v>
      </c>
      <c r="BT16" s="13">
        <v>42643283.348751299</v>
      </c>
      <c r="BU16" s="13">
        <v>42643747.619702697</v>
      </c>
      <c r="BV16" s="13">
        <v>42643747.619702697</v>
      </c>
      <c r="BW16" s="13">
        <v>42643747.619702697</v>
      </c>
      <c r="BX16" s="13">
        <v>42631169.357729703</v>
      </c>
      <c r="BY16" s="13">
        <v>42634372.997846402</v>
      </c>
      <c r="BZ16" s="13">
        <v>42634372.997846402</v>
      </c>
      <c r="CA16" s="13">
        <v>42634372.997846402</v>
      </c>
      <c r="CB16" s="13">
        <v>42634372.997846402</v>
      </c>
      <c r="CC16" s="13">
        <v>42634372.997846402</v>
      </c>
      <c r="CD16" s="13">
        <v>42623868.82282</v>
      </c>
      <c r="CE16" s="13">
        <v>42623868.82282</v>
      </c>
      <c r="CF16" s="13">
        <v>42624831.971699998</v>
      </c>
      <c r="CG16" s="13">
        <v>42624831.971657999</v>
      </c>
      <c r="CH16" s="13">
        <v>42624831.971657999</v>
      </c>
      <c r="CI16" s="13">
        <v>42624831.971657999</v>
      </c>
      <c r="CJ16" s="13">
        <v>42624831.971657999</v>
      </c>
      <c r="CK16" s="13">
        <v>42625917.680490702</v>
      </c>
      <c r="CL16" s="13">
        <v>42625917.68049074</v>
      </c>
      <c r="CM16" s="13">
        <v>42625917.68049074</v>
      </c>
      <c r="CN16" s="13">
        <v>42625917.68049074</v>
      </c>
      <c r="CO16" s="13">
        <v>42625917.68049074</v>
      </c>
      <c r="CP16" s="13">
        <v>42627472.914523602</v>
      </c>
      <c r="CQ16" s="13">
        <v>42627472.914523602</v>
      </c>
      <c r="CR16" s="13">
        <v>42577018.722383499</v>
      </c>
      <c r="CS16" s="13">
        <v>42577018.722383499</v>
      </c>
      <c r="CT16" s="13">
        <v>42577018.722383499</v>
      </c>
      <c r="CU16" s="13">
        <v>42577018.722383499</v>
      </c>
      <c r="CV16" s="13">
        <v>42577018.722383499</v>
      </c>
      <c r="CW16" s="13">
        <v>42577018.722383499</v>
      </c>
      <c r="CX16" s="13">
        <v>42577018.722383499</v>
      </c>
      <c r="CY16" s="13">
        <v>42577018.722383499</v>
      </c>
      <c r="CZ16" s="13">
        <v>42577018.722383499</v>
      </c>
      <c r="DA16" s="13">
        <v>42588829.515689097</v>
      </c>
      <c r="DB16" s="13">
        <v>42589865.406677097</v>
      </c>
      <c r="DC16" s="13">
        <v>42546547.210333399</v>
      </c>
      <c r="DD16" s="13">
        <v>42546547.210333399</v>
      </c>
      <c r="DE16" s="13">
        <v>42546547.210333399</v>
      </c>
      <c r="DF16" s="13">
        <v>42546547.210333399</v>
      </c>
      <c r="DG16" s="13">
        <v>42546547.210333399</v>
      </c>
      <c r="DH16" s="13">
        <v>42540612.400476903</v>
      </c>
      <c r="DI16" s="13">
        <v>42540653.389818303</v>
      </c>
      <c r="DJ16" s="13">
        <v>42544585.6013778</v>
      </c>
      <c r="DK16" s="13">
        <v>42544585.6013778</v>
      </c>
      <c r="DL16" s="13">
        <v>42545682.843180701</v>
      </c>
      <c r="DM16" s="13">
        <v>42546141.264452003</v>
      </c>
      <c r="DN16" s="13">
        <v>42511690.804736003</v>
      </c>
      <c r="DO16" s="13">
        <v>42511690.804736003</v>
      </c>
      <c r="DP16" s="13">
        <v>42512375.7365923</v>
      </c>
      <c r="DQ16" s="13">
        <v>42512375.7365923</v>
      </c>
      <c r="DR16" s="13">
        <v>42512375.7365923</v>
      </c>
      <c r="DS16" s="13">
        <v>42507087.650447398</v>
      </c>
      <c r="DT16" s="13">
        <v>42507087.650447398</v>
      </c>
      <c r="DU16" s="13">
        <v>42507087.650447398</v>
      </c>
      <c r="DV16" s="13">
        <v>42507087.650447398</v>
      </c>
      <c r="DW16" s="13">
        <v>42507087.650447398</v>
      </c>
      <c r="DX16" s="13">
        <v>42450613.911743</v>
      </c>
      <c r="DY16" s="13">
        <v>42453796.454999998</v>
      </c>
      <c r="DZ16" s="13">
        <v>42453796.454979397</v>
      </c>
      <c r="EA16" s="13">
        <v>42453796.454979397</v>
      </c>
      <c r="EB16" s="13">
        <v>42453796.454979397</v>
      </c>
      <c r="EC16" s="13">
        <v>42445973.232397303</v>
      </c>
      <c r="ED16" s="13">
        <v>42446996.906271398</v>
      </c>
      <c r="EE16" s="13">
        <v>42450707.310210504</v>
      </c>
      <c r="EF16" s="13">
        <v>42451798.916415296</v>
      </c>
      <c r="EG16" s="13">
        <v>42445789.806885399</v>
      </c>
      <c r="EH16" s="13">
        <v>42446241.712628901</v>
      </c>
      <c r="EI16" s="13">
        <v>42448816.331990696</v>
      </c>
      <c r="EJ16" s="13">
        <v>42448816.331990696</v>
      </c>
      <c r="EK16" s="13">
        <v>42448816.331990696</v>
      </c>
      <c r="EL16" s="13">
        <v>42388409.610613003</v>
      </c>
      <c r="EM16" s="13">
        <v>42388281.411067702</v>
      </c>
      <c r="EN16" s="13">
        <v>42388281.411067702</v>
      </c>
      <c r="EO16" s="13">
        <v>42388281.411067702</v>
      </c>
      <c r="EP16" s="13">
        <v>42396840.880746901</v>
      </c>
      <c r="EQ16" s="13">
        <v>42396840.880746901</v>
      </c>
      <c r="ER16" s="13">
        <v>42396840.880746901</v>
      </c>
      <c r="ES16" s="13">
        <v>42396840.880746901</v>
      </c>
      <c r="ET16" s="13">
        <v>42397895.305292897</v>
      </c>
      <c r="EU16" s="13">
        <v>42398848.113347597</v>
      </c>
      <c r="EV16" s="13">
        <v>42398848.113347597</v>
      </c>
      <c r="EW16" s="13">
        <v>42392666.385909498</v>
      </c>
      <c r="EX16" s="13">
        <v>42392666.385909498</v>
      </c>
      <c r="EY16" s="13">
        <v>42392666.385909498</v>
      </c>
      <c r="EZ16" s="13">
        <v>42392666.385909498</v>
      </c>
      <c r="FA16" s="13">
        <v>42392707.013203301</v>
      </c>
      <c r="FB16" s="13">
        <v>42397687.887573197</v>
      </c>
      <c r="FC16" s="13">
        <v>42397687.887573197</v>
      </c>
      <c r="FD16" s="13">
        <v>42400255.261554398</v>
      </c>
      <c r="FE16" s="13">
        <v>42400255.261554398</v>
      </c>
      <c r="FF16" s="13">
        <v>42400255.261554398</v>
      </c>
      <c r="FG16" s="13">
        <v>42400255.261554398</v>
      </c>
      <c r="FH16" s="13">
        <v>42400255.261554398</v>
      </c>
      <c r="FI16" s="13">
        <v>42400255.261554398</v>
      </c>
      <c r="FJ16" s="13">
        <v>42388422.629723802</v>
      </c>
      <c r="FK16" s="13">
        <v>42397388.5543795</v>
      </c>
      <c r="FL16" s="13">
        <v>42400543.534621902</v>
      </c>
      <c r="FM16" s="13">
        <v>42400543.534621902</v>
      </c>
      <c r="FN16" s="13">
        <v>42400543.534621902</v>
      </c>
      <c r="FO16" s="13">
        <v>42400543.534621902</v>
      </c>
      <c r="FP16" s="13">
        <v>42399381.514808901</v>
      </c>
      <c r="FQ16" s="13">
        <v>42399381.514808901</v>
      </c>
      <c r="FR16" s="13">
        <v>42400655.430230103</v>
      </c>
      <c r="FS16" s="13">
        <v>42400655.430230103</v>
      </c>
      <c r="FT16" s="13">
        <v>42400655.430230103</v>
      </c>
      <c r="FU16" s="13">
        <v>42400655.430230103</v>
      </c>
      <c r="FV16" s="13">
        <v>42400655.430230103</v>
      </c>
      <c r="FW16" s="13">
        <v>42401663.011365801</v>
      </c>
      <c r="FX16" s="13">
        <v>42401703.484950602</v>
      </c>
      <c r="FY16" s="13">
        <v>42402786.063307799</v>
      </c>
      <c r="FZ16" s="13">
        <v>42371915.184643097</v>
      </c>
      <c r="GA16" s="13">
        <v>42374468.588557899</v>
      </c>
      <c r="GB16" s="13">
        <v>42374468.588557899</v>
      </c>
      <c r="GC16" s="13">
        <v>42374468.588557899</v>
      </c>
      <c r="GD16" s="13">
        <v>42374468.588557899</v>
      </c>
      <c r="GE16" s="13">
        <v>42374468.588557899</v>
      </c>
      <c r="GF16" s="13">
        <v>42353744.691411696</v>
      </c>
      <c r="GG16" s="13">
        <v>42356685.612261102</v>
      </c>
      <c r="GH16" s="13">
        <v>42356685.612261102</v>
      </c>
      <c r="GI16" s="13">
        <v>42356685.612261102</v>
      </c>
      <c r="GJ16" s="13">
        <v>42356685.612261102</v>
      </c>
      <c r="GK16" s="13">
        <v>42350316.081680998</v>
      </c>
      <c r="GL16" s="13">
        <v>42350316.081680998</v>
      </c>
      <c r="GM16" s="13">
        <v>42350316.081680998</v>
      </c>
      <c r="GN16" s="13">
        <v>42350316.081680998</v>
      </c>
      <c r="GO16" s="13">
        <v>42351293.793539703</v>
      </c>
      <c r="GP16" s="13">
        <v>42351983.684274197</v>
      </c>
      <c r="GQ16" s="13">
        <v>42351983.684274197</v>
      </c>
      <c r="GR16" s="13">
        <v>42351983.684274197</v>
      </c>
      <c r="GS16" s="13">
        <v>42353024.520383</v>
      </c>
      <c r="GT16" s="13">
        <v>42350700.990089998</v>
      </c>
      <c r="GU16" s="13">
        <v>42351777.047418199</v>
      </c>
      <c r="GV16" s="13">
        <v>42354326.429747902</v>
      </c>
      <c r="GW16" s="13">
        <v>42354769.257725701</v>
      </c>
      <c r="GX16" s="13">
        <v>42354769.257725701</v>
      </c>
      <c r="GY16" s="13">
        <v>42354769.257725701</v>
      </c>
      <c r="GZ16" s="13">
        <v>42351073.445908397</v>
      </c>
      <c r="HA16" s="13">
        <v>42354011.959346503</v>
      </c>
      <c r="HB16" s="13">
        <v>42354011.959346503</v>
      </c>
      <c r="HC16" s="13">
        <v>42354011.959346503</v>
      </c>
      <c r="HD16" s="13">
        <v>42354011.959346503</v>
      </c>
      <c r="HE16" s="13">
        <v>42324782.656430699</v>
      </c>
      <c r="HF16" s="13">
        <v>42324782.656430699</v>
      </c>
      <c r="HG16" s="13">
        <v>42324782.656430699</v>
      </c>
      <c r="HH16" s="13">
        <v>42324782.656430699</v>
      </c>
      <c r="HI16" s="13">
        <v>42324782.656430699</v>
      </c>
      <c r="HJ16" s="13">
        <v>42324782.656430699</v>
      </c>
      <c r="HK16" s="13">
        <v>42324782.656430699</v>
      </c>
    </row>
    <row r="17" spans="1:219" ht="15.75" customHeight="1" thickBot="1">
      <c r="A17" s="12" t="s">
        <v>14</v>
      </c>
      <c r="B17" s="14">
        <f t="shared" ref="B17:AG17" si="166">B15/B16</f>
        <v>2.3964152024871339</v>
      </c>
      <c r="C17" s="14">
        <f t="shared" si="166"/>
        <v>2.3987304643921585</v>
      </c>
      <c r="D17" s="14">
        <f t="shared" si="166"/>
        <v>2.3985010869616503</v>
      </c>
      <c r="E17" s="14">
        <f t="shared" si="166"/>
        <v>2.3962249822932828</v>
      </c>
      <c r="F17" s="14">
        <f t="shared" si="166"/>
        <v>2.3985992405965395</v>
      </c>
      <c r="G17" s="14">
        <f t="shared" si="166"/>
        <v>2.3964811161393786</v>
      </c>
      <c r="H17" s="14">
        <f t="shared" si="166"/>
        <v>2.3980756669303451</v>
      </c>
      <c r="I17" s="14">
        <f t="shared" si="166"/>
        <v>2.3968267490145525</v>
      </c>
      <c r="J17" s="14">
        <f t="shared" si="166"/>
        <v>2.3976658011879786</v>
      </c>
      <c r="K17" s="14">
        <f t="shared" si="166"/>
        <v>2.3981354011341409</v>
      </c>
      <c r="L17" s="14">
        <f t="shared" si="166"/>
        <v>2.4001617491371361</v>
      </c>
      <c r="M17" s="14">
        <f t="shared" si="166"/>
        <v>2.3968722990829816</v>
      </c>
      <c r="N17" s="14">
        <f t="shared" si="166"/>
        <v>2.401557918083367</v>
      </c>
      <c r="O17" s="14">
        <f t="shared" si="166"/>
        <v>2.4010819256802303</v>
      </c>
      <c r="P17" s="14">
        <f t="shared" si="166"/>
        <v>2.4019707844377423</v>
      </c>
      <c r="Q17" s="14">
        <f t="shared" si="166"/>
        <v>2.4030262204960846</v>
      </c>
      <c r="R17" s="14">
        <f t="shared" si="166"/>
        <v>2.4039853473859818</v>
      </c>
      <c r="S17" s="14">
        <f t="shared" si="166"/>
        <v>2.4049906896320508</v>
      </c>
      <c r="T17" s="14">
        <f t="shared" si="166"/>
        <v>2.4092244495775055</v>
      </c>
      <c r="U17" s="14">
        <f t="shared" si="166"/>
        <v>2.4005945410712606</v>
      </c>
      <c r="V17" s="14">
        <f t="shared" si="166"/>
        <v>2.4050334968558058</v>
      </c>
      <c r="W17" s="14">
        <f t="shared" si="166"/>
        <v>2.4105783911820944</v>
      </c>
      <c r="X17" s="14">
        <f t="shared" si="166"/>
        <v>2.4118628403195363</v>
      </c>
      <c r="Y17" s="14">
        <f t="shared" si="166"/>
        <v>2.411329495711553</v>
      </c>
      <c r="Z17" s="14">
        <f t="shared" si="166"/>
        <v>2.4071586947238286</v>
      </c>
      <c r="AA17" s="14">
        <f t="shared" si="166"/>
        <v>2.4120948847157728</v>
      </c>
      <c r="AB17" s="14">
        <f t="shared" si="166"/>
        <v>2.412379319099192</v>
      </c>
      <c r="AC17" s="14">
        <f t="shared" si="166"/>
        <v>2.4128594576746831</v>
      </c>
      <c r="AD17" s="14">
        <f t="shared" si="166"/>
        <v>2.409452595046659</v>
      </c>
      <c r="AE17" s="14">
        <f t="shared" si="166"/>
        <v>2.4130286542776975</v>
      </c>
      <c r="AF17" s="14">
        <f t="shared" si="166"/>
        <v>2.4085464849922698</v>
      </c>
      <c r="AG17" s="14">
        <f t="shared" si="166"/>
        <v>2.4097004649259901</v>
      </c>
      <c r="AH17" s="14">
        <f t="shared" ref="AH17:BL17" si="167">AH15/AH16</f>
        <v>2.4142393589541271</v>
      </c>
      <c r="AI17" s="14">
        <f t="shared" si="167"/>
        <v>2.4129386989184307</v>
      </c>
      <c r="AJ17" s="14">
        <f t="shared" si="167"/>
        <v>2.4082630078075531</v>
      </c>
      <c r="AK17" s="14">
        <f t="shared" si="167"/>
        <v>2.4136050360009449</v>
      </c>
      <c r="AL17" s="14">
        <f t="shared" si="167"/>
        <v>2.4137689902637156</v>
      </c>
      <c r="AM17" s="14">
        <f t="shared" si="167"/>
        <v>2.4127653282385984</v>
      </c>
      <c r="AN17" s="14">
        <f t="shared" si="167"/>
        <v>2.4143056919358235</v>
      </c>
      <c r="AO17" s="14">
        <f t="shared" si="167"/>
        <v>2.411648548200338</v>
      </c>
      <c r="AP17" s="14">
        <f t="shared" si="167"/>
        <v>2.4073560060736594</v>
      </c>
      <c r="AQ17" s="14">
        <f t="shared" si="167"/>
        <v>2.4086627458471104</v>
      </c>
      <c r="AR17" s="14">
        <f t="shared" si="167"/>
        <v>2.4172293621681971</v>
      </c>
      <c r="AS17" s="14">
        <f t="shared" si="167"/>
        <v>2.4149776087331163</v>
      </c>
      <c r="AT17" s="14">
        <f t="shared" si="167"/>
        <v>2.4134412845301236</v>
      </c>
      <c r="AU17" s="14">
        <f t="shared" si="167"/>
        <v>2.4136982359266548</v>
      </c>
      <c r="AV17" s="14">
        <f t="shared" si="167"/>
        <v>2.4155376921468985</v>
      </c>
      <c r="AW17" s="14">
        <f t="shared" si="167"/>
        <v>2.4159957393172293</v>
      </c>
      <c r="AX17" s="14">
        <f t="shared" si="167"/>
        <v>2.4111101032448223</v>
      </c>
      <c r="AY17" s="14">
        <f t="shared" si="167"/>
        <v>2.4137808995950603</v>
      </c>
      <c r="AZ17" s="14">
        <f t="shared" si="167"/>
        <v>2.4180440950086983</v>
      </c>
      <c r="BA17" s="14">
        <f t="shared" si="167"/>
        <v>2.4183460590118973</v>
      </c>
      <c r="BB17" s="14">
        <f t="shared" si="167"/>
        <v>2.4170151559439015</v>
      </c>
      <c r="BC17" s="14">
        <f t="shared" si="167"/>
        <v>2.4188353018970417</v>
      </c>
      <c r="BD17" s="14">
        <f t="shared" si="167"/>
        <v>2.4143762575187542</v>
      </c>
      <c r="BE17" s="14">
        <f t="shared" si="167"/>
        <v>2.4121211698963183</v>
      </c>
      <c r="BF17" s="14">
        <f t="shared" si="167"/>
        <v>2.4197350222468836</v>
      </c>
      <c r="BG17" s="14">
        <f t="shared" si="167"/>
        <v>2.4206600723785501</v>
      </c>
      <c r="BH17" s="14">
        <f t="shared" si="167"/>
        <v>2.4223018096369824</v>
      </c>
      <c r="BI17" s="14">
        <f t="shared" si="167"/>
        <v>2.418781750899631</v>
      </c>
      <c r="BJ17" s="14">
        <f t="shared" si="167"/>
        <v>2.4213357286689465</v>
      </c>
      <c r="BK17" s="14">
        <f t="shared" si="167"/>
        <v>2.4229818960430585</v>
      </c>
      <c r="BL17" s="14">
        <f t="shared" si="167"/>
        <v>2.4215484980085775</v>
      </c>
      <c r="BM17" s="14">
        <f t="shared" ref="BM17:BN17" si="168">BM15/BM16</f>
        <v>2.4204774857010314</v>
      </c>
      <c r="BN17" s="14">
        <f t="shared" si="168"/>
        <v>2.4177696735505259</v>
      </c>
      <c r="BO17" s="14">
        <f t="shared" ref="BO17:BP17" si="169">BO15/BO16</f>
        <v>2.4204644851853563</v>
      </c>
      <c r="BP17" s="14">
        <f t="shared" si="169"/>
        <v>2.4184919549802859</v>
      </c>
      <c r="BQ17" s="14">
        <f t="shared" ref="BQ17:BS17" si="170">BQ15/BQ16</f>
        <v>2.4174002477252681</v>
      </c>
      <c r="BR17" s="14">
        <f t="shared" si="170"/>
        <v>2.4217856585141222</v>
      </c>
      <c r="BS17" s="14">
        <f t="shared" si="170"/>
        <v>2.4227681080524803</v>
      </c>
      <c r="BT17" s="14">
        <f t="shared" ref="BT17:BV17" si="171">BT15/BT16</f>
        <v>2.4231539721020519</v>
      </c>
      <c r="BU17" s="14">
        <f t="shared" si="171"/>
        <v>2.4242059617254794</v>
      </c>
      <c r="BV17" s="14">
        <f t="shared" si="171"/>
        <v>2.4234015185910271</v>
      </c>
      <c r="BW17" s="14">
        <f t="shared" ref="BW17:BX17" si="172">BW15/BW16</f>
        <v>2.4238234718902651</v>
      </c>
      <c r="BX17" s="14">
        <f t="shared" si="172"/>
        <v>2.4284875069050509</v>
      </c>
      <c r="BY17" s="14">
        <f t="shared" ref="BY17:BZ17" si="173">BY15/BY16</f>
        <v>2.428782694077162</v>
      </c>
      <c r="BZ17" s="14">
        <f t="shared" si="173"/>
        <v>2.4295319786978515</v>
      </c>
      <c r="CA17" s="14">
        <f t="shared" ref="CA17:CB17" si="174">CA15/CA16</f>
        <v>2.4316387184874695</v>
      </c>
      <c r="CB17" s="14">
        <f t="shared" si="174"/>
        <v>2.4296421838649405</v>
      </c>
      <c r="CC17" s="14">
        <f t="shared" ref="CC17:CD17" si="175">CC15/CC16</f>
        <v>2.42997371053711</v>
      </c>
      <c r="CD17" s="14">
        <f t="shared" si="175"/>
        <v>2.4287788900705154</v>
      </c>
      <c r="CE17" s="14">
        <f t="shared" ref="CE17:CF17" si="176">CE15/CE16</f>
        <v>2.4279528850415875</v>
      </c>
      <c r="CF17" s="14">
        <f t="shared" si="176"/>
        <v>2.4291086610908823</v>
      </c>
      <c r="CG17" s="14">
        <f t="shared" ref="CG17:CH17" si="177">CG15/CG16</f>
        <v>2.4250479656724675</v>
      </c>
      <c r="CH17" s="14">
        <f t="shared" si="177"/>
        <v>2.426387389134312</v>
      </c>
      <c r="CI17" s="14">
        <f t="shared" ref="CI17:CJ17" si="178">CI15/CI16</f>
        <v>2.426719957483424</v>
      </c>
      <c r="CJ17" s="14">
        <f t="shared" si="178"/>
        <v>2.4233016446535491</v>
      </c>
      <c r="CK17" s="14">
        <f t="shared" ref="CK17:CL17" si="179">CK15/CK16</f>
        <v>2.428809251592591</v>
      </c>
      <c r="CL17" s="14">
        <f t="shared" si="179"/>
        <v>2.4354495930890852</v>
      </c>
      <c r="CM17" s="14">
        <f t="shared" ref="CM17:CN17" si="180">CM15/CM16</f>
        <v>2.4293523033615498</v>
      </c>
      <c r="CN17" s="14">
        <f t="shared" si="180"/>
        <v>2.4350708676356883</v>
      </c>
      <c r="CO17" s="14">
        <f t="shared" ref="CO17:CP17" si="181">CO15/CO16</f>
        <v>2.4362472209608139</v>
      </c>
      <c r="CP17" s="14">
        <f t="shared" si="181"/>
        <v>2.4361930834660792</v>
      </c>
      <c r="CQ17" s="14">
        <f t="shared" ref="CQ17:CR17" si="182">CQ15/CQ16</f>
        <v>2.4338939272342159</v>
      </c>
      <c r="CR17" s="14">
        <f t="shared" si="182"/>
        <v>2.4303766905337518</v>
      </c>
      <c r="CS17" s="14">
        <f t="shared" ref="CS17:CT17" si="183">CS15/CS16</f>
        <v>2.434288981945842</v>
      </c>
      <c r="CT17" s="14">
        <f t="shared" si="183"/>
        <v>2.4326056116171841</v>
      </c>
      <c r="CU17" s="14">
        <f t="shared" ref="CU17:CV17" si="184">CU15/CU16</f>
        <v>2.4347488619606379</v>
      </c>
      <c r="CV17" s="14">
        <f t="shared" si="184"/>
        <v>2.4394738010483588</v>
      </c>
      <c r="CW17" s="14">
        <f t="shared" ref="CW17:CX17" si="185">CW15/CW16</f>
        <v>2.4407866376836447</v>
      </c>
      <c r="CX17" s="14">
        <f t="shared" si="185"/>
        <v>2.4395256522597926</v>
      </c>
      <c r="CY17" s="14">
        <f t="shared" ref="CY17:CZ17" si="186">CY15/CY16</f>
        <v>2.4397504827032397</v>
      </c>
      <c r="CZ17" s="14">
        <f t="shared" si="186"/>
        <v>2.4367541836708475</v>
      </c>
      <c r="DA17" s="14">
        <f t="shared" ref="DA17:DB17" si="187">DA15/DA16</f>
        <v>2.4396099872086112</v>
      </c>
      <c r="DB17" s="14">
        <f t="shared" si="187"/>
        <v>2.4366771110699514</v>
      </c>
      <c r="DC17" s="14">
        <f t="shared" ref="DC17:DD17" si="188">DC15/DC16</f>
        <v>2.4404588858101692</v>
      </c>
      <c r="DD17" s="14">
        <f t="shared" si="188"/>
        <v>2.4438806149408623</v>
      </c>
      <c r="DE17" s="14">
        <f t="shared" ref="DE17:DF17" si="189">DE15/DE16</f>
        <v>2.4457038319839866</v>
      </c>
      <c r="DF17" s="14">
        <f t="shared" si="189"/>
        <v>2.4451616462718082</v>
      </c>
      <c r="DG17" s="14">
        <f t="shared" ref="DG17:DH17" si="190">DG15/DG16</f>
        <v>2.4468420112999389</v>
      </c>
      <c r="DH17" s="14">
        <f t="shared" si="190"/>
        <v>2.4396586152303841</v>
      </c>
      <c r="DI17" s="14">
        <f t="shared" ref="DI17:DJ17" si="191">DI15/DI16</f>
        <v>2.4423914773454722</v>
      </c>
      <c r="DJ17" s="14">
        <f t="shared" si="191"/>
        <v>2.4476918756643751</v>
      </c>
      <c r="DK17" s="14">
        <f t="shared" ref="DK17:DL17" si="192">DK15/DK16</f>
        <v>2.4415766815374971</v>
      </c>
      <c r="DL17" s="14">
        <f t="shared" si="192"/>
        <v>2.4388048068813863</v>
      </c>
      <c r="DM17" s="14">
        <f t="shared" ref="DM17:DN17" si="193">DM15/DM16</f>
        <v>2.4429123596418991</v>
      </c>
      <c r="DN17" s="14">
        <f t="shared" si="193"/>
        <v>2.4431475879672431</v>
      </c>
      <c r="DO17" s="14">
        <f t="shared" ref="DO17:DP17" si="194">DO15/DO16</f>
        <v>2.4396587554321822</v>
      </c>
      <c r="DP17" s="14">
        <f t="shared" si="194"/>
        <v>2.4404670010172516</v>
      </c>
      <c r="DQ17" s="14">
        <f t="shared" ref="DQ17:DR17" si="195">DQ15/DQ16</f>
        <v>2.4449895245570157</v>
      </c>
      <c r="DR17" s="14">
        <f t="shared" si="195"/>
        <v>2.4452827434087969</v>
      </c>
      <c r="DS17" s="14">
        <f t="shared" ref="DS17:DT17" si="196">DS15/DS16</f>
        <v>2.4392997312039713</v>
      </c>
      <c r="DT17" s="14">
        <f t="shared" si="196"/>
        <v>2.4430563235471858</v>
      </c>
      <c r="DU17" s="14">
        <f t="shared" ref="DU17:DV17" si="197">DU15/DU16</f>
        <v>2.4461778810881576</v>
      </c>
      <c r="DV17" s="14">
        <f t="shared" si="197"/>
        <v>2.445663045064105</v>
      </c>
      <c r="DW17" s="14">
        <f t="shared" ref="DW17:DX17" si="198">DW15/DW16</f>
        <v>2.4461671805197311</v>
      </c>
      <c r="DX17" s="14">
        <f t="shared" si="198"/>
        <v>2.444585798823824</v>
      </c>
      <c r="DY17" s="14">
        <f t="shared" ref="DY17:DZ17" si="199">DY15/DY16</f>
        <v>2.4468094668543112</v>
      </c>
      <c r="DZ17" s="14">
        <f t="shared" si="199"/>
        <v>2.4499406125032377</v>
      </c>
      <c r="EA17" s="14">
        <f t="shared" ref="EA17:EB17" si="200">EA15/EA16</f>
        <v>2.4516136965600506</v>
      </c>
      <c r="EB17" s="14">
        <f t="shared" si="200"/>
        <v>2.4519187253461974</v>
      </c>
      <c r="EC17" s="14">
        <f t="shared" ref="EC17:ED17" si="201">EC15/EC16</f>
        <v>2.4480452843213394</v>
      </c>
      <c r="ED17" s="14">
        <f t="shared" si="201"/>
        <v>2.4513799977361042</v>
      </c>
      <c r="EE17" s="14">
        <f t="shared" ref="EE17:EF17" si="202">EE15/EE16</f>
        <v>2.4523495636775947</v>
      </c>
      <c r="EF17" s="14">
        <f t="shared" si="202"/>
        <v>2.4482931414670999</v>
      </c>
      <c r="EG17" s="14">
        <f t="shared" ref="EG17:EH17" si="203">EG15/EG16</f>
        <v>2.4496258694456743</v>
      </c>
      <c r="EH17" s="14">
        <f t="shared" si="203"/>
        <v>2.4520129436815075</v>
      </c>
      <c r="EI17" s="14">
        <f t="shared" ref="EI17:EJ17" si="204">EI15/EI16</f>
        <v>2.450385825990876</v>
      </c>
      <c r="EJ17" s="14">
        <f t="shared" si="204"/>
        <v>2.4534604761525962</v>
      </c>
      <c r="EK17" s="14">
        <f t="shared" ref="EK17:EL17" si="205">EK15/EK16</f>
        <v>2.45163738644864</v>
      </c>
      <c r="EL17" s="14">
        <f t="shared" si="205"/>
        <v>2.4519444148708405</v>
      </c>
      <c r="EM17" s="14">
        <f t="shared" ref="EM17:EN17" si="206">EM15/EM16</f>
        <v>2.4504260461213088</v>
      </c>
      <c r="EN17" s="14">
        <f t="shared" si="206"/>
        <v>2.4524898408090823</v>
      </c>
      <c r="EO17" s="14">
        <f t="shared" ref="EO17:EP17" si="207">EO15/EO16</f>
        <v>2.4534230258470981</v>
      </c>
      <c r="EP17" s="14">
        <f t="shared" si="207"/>
        <v>2.4536071360269571</v>
      </c>
      <c r="EQ17" s="14">
        <f t="shared" ref="EQ17:ER17" si="208">EQ15/EQ16</f>
        <v>2.4523400173246199</v>
      </c>
      <c r="ER17" s="14">
        <f t="shared" si="208"/>
        <v>2.4512508984412134</v>
      </c>
      <c r="ES17" s="14">
        <f t="shared" ref="ES17:ET17" si="209">ES15/ES16</f>
        <v>2.4534140541880758</v>
      </c>
      <c r="ET17" s="14">
        <f t="shared" si="209"/>
        <v>2.4558986338881112</v>
      </c>
      <c r="EU17" s="14">
        <f t="shared" ref="EU17:EV17" si="210">EU15/EU16</f>
        <v>2.4530731538260202</v>
      </c>
      <c r="EV17" s="14">
        <f t="shared" si="210"/>
        <v>2.4536903253097844</v>
      </c>
      <c r="EW17" s="14">
        <f t="shared" ref="EW17:EX17" si="211">EW15/EW16</f>
        <v>2.4576543853497634</v>
      </c>
      <c r="EX17" s="14">
        <f t="shared" si="211"/>
        <v>2.4565764321588981</v>
      </c>
      <c r="EY17" s="14">
        <f t="shared" ref="EY17:EZ17" si="212">EY15/EY16</f>
        <v>2.4598206871615917</v>
      </c>
      <c r="EZ17" s="14">
        <f t="shared" si="212"/>
        <v>2.4613994840551561</v>
      </c>
      <c r="FA17" s="14">
        <f t="shared" ref="FA17:FB17" si="213">FA15/FA16</f>
        <v>2.4608129194842205</v>
      </c>
      <c r="FB17" s="14">
        <f t="shared" si="213"/>
        <v>2.4623836874510214</v>
      </c>
      <c r="FC17" s="14">
        <f t="shared" ref="FC17:FD17" si="214">FC15/FC16</f>
        <v>2.4589327641273728</v>
      </c>
      <c r="FD17" s="14">
        <f t="shared" si="214"/>
        <v>2.4607274568604813</v>
      </c>
      <c r="FE17" s="14">
        <f t="shared" ref="FE17:FF17" si="215">FE15/FE16</f>
        <v>2.4597756368831947</v>
      </c>
      <c r="FF17" s="14">
        <f t="shared" si="215"/>
        <v>2.4653410623398186</v>
      </c>
      <c r="FG17" s="14">
        <f t="shared" ref="FG17:FH17" si="216">FG15/FG16</f>
        <v>2.4656682608416771</v>
      </c>
      <c r="FH17" s="14">
        <f t="shared" si="216"/>
        <v>2.4659965576859801</v>
      </c>
      <c r="FI17" s="14">
        <f t="shared" ref="FI17:FJ17" si="217">FI15/FI16</f>
        <v>2.4637861323142021</v>
      </c>
      <c r="FJ17" s="14">
        <f t="shared" si="217"/>
        <v>2.4651110564498224</v>
      </c>
      <c r="FK17" s="14">
        <f t="shared" ref="FK17:FL17" si="218">FK15/FK16</f>
        <v>2.4659425423314283</v>
      </c>
      <c r="FL17" s="14">
        <f t="shared" si="218"/>
        <v>2.4662342532145676</v>
      </c>
      <c r="FM17" s="14">
        <f t="shared" ref="FM17:FN17" si="219">FM15/FM16</f>
        <v>2.466741012756045</v>
      </c>
      <c r="FN17" s="14">
        <f t="shared" si="219"/>
        <v>2.4670207532737649</v>
      </c>
      <c r="FO17" s="14">
        <f t="shared" ref="FO17:FP17" si="220">FO15/FO16</f>
        <v>2.4690667551116703</v>
      </c>
      <c r="FP17" s="14">
        <f t="shared" si="220"/>
        <v>2.4689223217427823</v>
      </c>
      <c r="FQ17" s="14">
        <f t="shared" ref="FQ17:FR17" si="221">FQ15/FQ16</f>
        <v>2.4651401087889453</v>
      </c>
      <c r="FR17" s="14">
        <f t="shared" si="221"/>
        <v>2.4706221332444978</v>
      </c>
      <c r="FS17" s="14">
        <f t="shared" ref="FS17:FT17" si="222">FS15/FS16</f>
        <v>2.471943713994404</v>
      </c>
      <c r="FT17" s="14">
        <f t="shared" si="222"/>
        <v>2.4714759405649898</v>
      </c>
      <c r="FU17" s="14">
        <f t="shared" ref="FU17:FV17" si="223">FU15/FU16</f>
        <v>2.4682238745626877</v>
      </c>
      <c r="FV17" s="14">
        <f t="shared" si="223"/>
        <v>2.471265004674748</v>
      </c>
      <c r="FW17" s="14">
        <f t="shared" ref="FW17:FX17" si="224">FW15/FW16</f>
        <v>2.470747290546552</v>
      </c>
      <c r="FX17" s="14">
        <f t="shared" si="224"/>
        <v>2.4709527789888526</v>
      </c>
      <c r="FY17" s="14">
        <f t="shared" ref="FY17:FZ17" si="225">FY15/FY16</f>
        <v>2.4713572333087694</v>
      </c>
      <c r="FZ17" s="14">
        <f t="shared" si="225"/>
        <v>2.4723859642286876</v>
      </c>
      <c r="GA17" s="14">
        <f t="shared" ref="GA17:GB17" si="226">GA15/GA16</f>
        <v>2.471863579152549</v>
      </c>
      <c r="GB17" s="14">
        <f t="shared" si="226"/>
        <v>2.4724024477392379</v>
      </c>
      <c r="GC17" s="14">
        <f t="shared" ref="GC17:GD17" si="227">GC15/GC16</f>
        <v>2.4722713813168147</v>
      </c>
      <c r="GD17" s="14">
        <f t="shared" si="227"/>
        <v>2.4713614692710877</v>
      </c>
      <c r="GE17" s="14">
        <f t="shared" ref="GE17:GF17" si="228">GE15/GE16</f>
        <v>2.4733978492488014</v>
      </c>
      <c r="GF17" s="14">
        <f t="shared" si="228"/>
        <v>2.475415141302951</v>
      </c>
      <c r="GG17" s="14">
        <f t="shared" ref="GG17:GH17" si="229">GG15/GG16</f>
        <v>2.4767289546761084</v>
      </c>
      <c r="GH17" s="14">
        <f t="shared" si="229"/>
        <v>2.4742600790195644</v>
      </c>
      <c r="GI17" s="14">
        <f t="shared" ref="GI17:GJ17" si="230">GI15/GI16</f>
        <v>2.476885146075515</v>
      </c>
      <c r="GJ17" s="14">
        <f t="shared" si="230"/>
        <v>2.4731186476421763</v>
      </c>
      <c r="GK17" s="14">
        <f t="shared" ref="GK17:GL17" si="231">GK15/GK16</f>
        <v>2.4714206880565395</v>
      </c>
      <c r="GL17" s="14">
        <f t="shared" si="231"/>
        <v>2.4735094599521119</v>
      </c>
      <c r="GM17" s="14">
        <f t="shared" ref="GM17:GN17" si="232">GM15/GM16</f>
        <v>2.4737242871562928</v>
      </c>
      <c r="GN17" s="14">
        <f t="shared" si="232"/>
        <v>2.4743793157975547</v>
      </c>
      <c r="GO17" s="14">
        <f t="shared" ref="GO17:GP17" si="233">GO15/GO16</f>
        <v>2.477203873899207</v>
      </c>
      <c r="GP17" s="14">
        <f t="shared" si="233"/>
        <v>2.4762153615236793</v>
      </c>
      <c r="GQ17" s="14">
        <f t="shared" ref="GQ17:GR17" si="234">GQ15/GQ16</f>
        <v>2.4770791425515699</v>
      </c>
      <c r="GR17" s="14">
        <f t="shared" si="234"/>
        <v>2.4778156504382496</v>
      </c>
      <c r="GS17" s="14">
        <f t="shared" ref="GS17:GT17" si="235">GS15/GS16</f>
        <v>2.4753218174429432</v>
      </c>
      <c r="GT17" s="14">
        <f t="shared" si="235"/>
        <v>2.4766338466166937</v>
      </c>
      <c r="GU17" s="14">
        <f t="shared" ref="GU17:GV17" si="236">GU15/GU16</f>
        <v>2.4762860895442231</v>
      </c>
      <c r="GV17" s="14">
        <f t="shared" si="236"/>
        <v>2.4772599180400778</v>
      </c>
      <c r="GW17" s="14">
        <f t="shared" ref="GW17:GX17" si="237">GW15/GW16</f>
        <v>2.4779958292620319</v>
      </c>
      <c r="GX17" s="14">
        <f t="shared" si="237"/>
        <v>2.4786377340693644</v>
      </c>
      <c r="GY17" s="14">
        <f t="shared" ref="GY17:GZ17" si="238">GY15/GY16</f>
        <v>2.4752536733717871</v>
      </c>
      <c r="GZ17" s="14">
        <f t="shared" si="238"/>
        <v>2.4774431539264019</v>
      </c>
      <c r="HA17" s="14">
        <f t="shared" ref="HA17:HB17" si="239">HA15/HA16</f>
        <v>2.4772228477601548</v>
      </c>
      <c r="HB17" s="14">
        <f t="shared" si="239"/>
        <v>2.4790047139047937</v>
      </c>
      <c r="HC17" s="14">
        <f t="shared" ref="HC17:HD17" si="240">HC15/HC16</f>
        <v>2.4805055327660868</v>
      </c>
      <c r="HD17" s="14">
        <f t="shared" si="240"/>
        <v>2.4804932616735509</v>
      </c>
      <c r="HE17" s="14">
        <f t="shared" ref="HE17:HF17" si="241">HE15/HE16</f>
        <v>2.4814789002594528</v>
      </c>
      <c r="HF17" s="14">
        <f t="shared" si="241"/>
        <v>2.4840776649333991</v>
      </c>
      <c r="HG17" s="14">
        <f t="shared" ref="HG17:HH17" si="242">HG15/HG16</f>
        <v>2.48254994627918</v>
      </c>
      <c r="HH17" s="14">
        <f t="shared" si="242"/>
        <v>2.4817675554924676</v>
      </c>
      <c r="HI17" s="14">
        <f t="shared" ref="HI17:HJ17" si="243">HI15/HI16</f>
        <v>2.478007328977144</v>
      </c>
      <c r="HJ17" s="14">
        <f t="shared" si="243"/>
        <v>2.4811629706985485</v>
      </c>
      <c r="HK17" s="14">
        <f t="shared" ref="HK17" si="244">HK15/HK16</f>
        <v>2.4819496594399957</v>
      </c>
    </row>
    <row r="18" spans="1:219">
      <c r="DE18">
        <v>104604491.31</v>
      </c>
    </row>
    <row r="19" spans="1:219">
      <c r="DE19">
        <v>104056253.55</v>
      </c>
    </row>
    <row r="20" spans="1:219" ht="15.75" thickBot="1"/>
    <row r="21" spans="1:219" ht="15.75" thickBot="1">
      <c r="CW21" s="772">
        <v>133367.92000000001</v>
      </c>
      <c r="CX21" s="772">
        <v>33341.980000000003</v>
      </c>
      <c r="DC21">
        <v>104604491.31</v>
      </c>
    </row>
    <row r="22" spans="1:219" ht="15.75" thickBot="1">
      <c r="CW22" s="773">
        <v>129761.32</v>
      </c>
      <c r="CX22" s="773">
        <v>32440.33</v>
      </c>
    </row>
    <row r="23" spans="1:219" ht="15.75" thickBot="1">
      <c r="CW23" s="773">
        <v>129761.32</v>
      </c>
      <c r="CX23" s="773">
        <v>32440.33</v>
      </c>
    </row>
    <row r="24" spans="1:219">
      <c r="CW24">
        <f>SUM(CW21:CW23)</f>
        <v>392890.56</v>
      </c>
      <c r="CX24">
        <f>SUM(CX21:CX23)</f>
        <v>98222.64</v>
      </c>
      <c r="CY24">
        <f>CX24/3</f>
        <v>32740.880000000001</v>
      </c>
    </row>
  </sheetData>
  <mergeCells count="9">
    <mergeCell ref="FT1:GO1"/>
    <mergeCell ref="EX1:FS1"/>
    <mergeCell ref="EB1:EW1"/>
    <mergeCell ref="DF1:DZ1"/>
    <mergeCell ref="B1:W1"/>
    <mergeCell ref="X1:AQ1"/>
    <mergeCell ref="AR1:BL1"/>
    <mergeCell ref="BM1:CH1"/>
    <mergeCell ref="CI1:D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R76"/>
  <sheetViews>
    <sheetView topLeftCell="AH70" zoomScale="130" zoomScaleNormal="130" workbookViewId="0">
      <selection activeCell="AH77" sqref="A77:XFD87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4.42578125" style="630" customWidth="1"/>
    <col min="4" max="4" width="12.5703125" style="692" customWidth="1"/>
    <col min="5" max="5" width="24.42578125" style="630" customWidth="1"/>
    <col min="6" max="6" width="12.5703125" style="692" customWidth="1"/>
    <col min="7" max="7" width="24.42578125" style="630" customWidth="1"/>
    <col min="8" max="8" width="12.5703125" style="692" customWidth="1"/>
    <col min="9" max="9" width="24.42578125" style="630" customWidth="1"/>
    <col min="10" max="10" width="12.5703125" style="692" customWidth="1"/>
    <col min="11" max="11" width="24.42578125" style="630" customWidth="1"/>
    <col min="12" max="12" width="12.5703125" style="692" customWidth="1"/>
    <col min="13" max="13" width="24.42578125" style="630" customWidth="1"/>
    <col min="14" max="14" width="12.5703125" style="692" customWidth="1"/>
    <col min="15" max="15" width="24.42578125" style="630" customWidth="1"/>
    <col min="16" max="16" width="12.5703125" style="692" customWidth="1"/>
    <col min="17" max="17" width="24.42578125" style="630" customWidth="1"/>
    <col min="18" max="18" width="12.5703125" style="692" customWidth="1"/>
    <col min="19" max="19" width="24.42578125" style="630" customWidth="1"/>
    <col min="20" max="20" width="12.5703125" style="692" customWidth="1"/>
    <col min="21" max="21" width="24.42578125" style="630" customWidth="1"/>
    <col min="22" max="22" width="12.5703125" style="692" customWidth="1"/>
    <col min="23" max="23" width="24.42578125" style="630" customWidth="1"/>
    <col min="24" max="24" width="12.5703125" style="692" customWidth="1"/>
    <col min="25" max="25" width="24.42578125" style="630" customWidth="1"/>
    <col min="26" max="26" width="12.5703125" style="692" customWidth="1"/>
    <col min="27" max="27" width="24.42578125" style="630" customWidth="1"/>
    <col min="28" max="28" width="12.5703125" style="692" customWidth="1"/>
    <col min="29" max="29" width="24.42578125" style="630" customWidth="1"/>
    <col min="30" max="30" width="12.5703125" style="692" customWidth="1"/>
    <col min="31" max="31" width="24.42578125" style="630" customWidth="1"/>
    <col min="32" max="32" width="12.5703125" style="692" customWidth="1"/>
    <col min="33" max="33" width="24.42578125" style="630" customWidth="1"/>
    <col min="34" max="34" width="12.5703125" style="692" customWidth="1"/>
    <col min="35" max="35" width="24.42578125" style="630" customWidth="1"/>
    <col min="36" max="36" width="12.5703125" style="692" customWidth="1"/>
    <col min="37" max="37" width="24.42578125" style="630" customWidth="1"/>
    <col min="38" max="38" width="12.5703125" style="692" customWidth="1"/>
    <col min="39" max="39" width="24.42578125" style="630" customWidth="1"/>
    <col min="40" max="40" width="12.5703125" style="692" customWidth="1"/>
    <col min="41" max="41" width="24.42578125" style="630" customWidth="1"/>
    <col min="42" max="42" width="12.5703125" style="692" customWidth="1"/>
    <col min="43" max="43" width="24.42578125" style="630" customWidth="1"/>
    <col min="44" max="44" width="12.5703125" style="692" customWidth="1"/>
  </cols>
  <sheetData>
    <row r="1" spans="1:44">
      <c r="C1" s="1035">
        <v>2</v>
      </c>
      <c r="D1" s="1036"/>
      <c r="E1" s="1035">
        <v>3</v>
      </c>
      <c r="F1" s="1036"/>
      <c r="G1" s="1035">
        <v>4</v>
      </c>
      <c r="H1" s="1036"/>
      <c r="I1" s="1035">
        <v>5</v>
      </c>
      <c r="J1" s="1036"/>
      <c r="K1" s="1035">
        <v>6</v>
      </c>
      <c r="L1" s="1036"/>
      <c r="M1" s="1035">
        <v>9</v>
      </c>
      <c r="N1" s="1036"/>
      <c r="O1" s="1035">
        <v>10</v>
      </c>
      <c r="P1" s="1036"/>
      <c r="Q1" s="1035">
        <v>11</v>
      </c>
      <c r="R1" s="1036"/>
      <c r="S1" s="1035">
        <v>12</v>
      </c>
      <c r="T1" s="1036"/>
      <c r="U1" s="1035">
        <v>13</v>
      </c>
      <c r="V1" s="1036"/>
      <c r="W1" s="1035">
        <v>16</v>
      </c>
      <c r="X1" s="1036"/>
      <c r="Y1" s="1035">
        <v>17</v>
      </c>
      <c r="Z1" s="1036"/>
      <c r="AA1" s="1035">
        <v>18</v>
      </c>
      <c r="AB1" s="1036"/>
      <c r="AC1" s="1035">
        <v>19</v>
      </c>
      <c r="AD1" s="1036"/>
      <c r="AE1" s="1035">
        <v>20</v>
      </c>
      <c r="AF1" s="1036"/>
      <c r="AG1" s="1035">
        <v>23</v>
      </c>
      <c r="AH1" s="1036"/>
      <c r="AI1" s="1035">
        <v>24</v>
      </c>
      <c r="AJ1" s="1036"/>
      <c r="AK1" s="1035">
        <v>25</v>
      </c>
      <c r="AL1" s="1036"/>
      <c r="AM1" s="1035">
        <v>26</v>
      </c>
      <c r="AN1" s="1036"/>
      <c r="AO1" s="1035">
        <v>27</v>
      </c>
      <c r="AP1" s="1036"/>
      <c r="AQ1" s="1035">
        <v>30</v>
      </c>
      <c r="AR1" s="1036"/>
    </row>
    <row r="2" spans="1:44">
      <c r="A2" s="418" t="s">
        <v>129</v>
      </c>
      <c r="B2" s="58" t="s">
        <v>15</v>
      </c>
      <c r="C2" s="758">
        <v>6815191.2599999998</v>
      </c>
      <c r="D2" s="200">
        <v>6.52</v>
      </c>
      <c r="E2" s="758">
        <v>6862284</v>
      </c>
      <c r="F2" s="200">
        <v>6.56</v>
      </c>
      <c r="G2" s="758">
        <v>6815447.3300000001</v>
      </c>
      <c r="H2" s="200">
        <v>6.56</v>
      </c>
      <c r="I2" s="757">
        <v>6832183.79</v>
      </c>
      <c r="J2" s="205">
        <v>6.57</v>
      </c>
      <c r="K2" s="758">
        <v>6870798</v>
      </c>
      <c r="L2" s="200">
        <v>6.59</v>
      </c>
      <c r="M2" s="757">
        <v>6849207.2699999996</v>
      </c>
      <c r="N2" s="205">
        <v>6.58</v>
      </c>
      <c r="O2" s="757">
        <v>6852076.8799999999</v>
      </c>
      <c r="P2" s="205">
        <v>6.59</v>
      </c>
      <c r="Q2" s="757">
        <v>6854945.8399999999</v>
      </c>
      <c r="R2" s="205">
        <v>6.58</v>
      </c>
      <c r="S2" s="757">
        <v>6857814.79</v>
      </c>
      <c r="T2" s="205">
        <v>6.59</v>
      </c>
      <c r="U2" s="757">
        <v>6863393.4000000004</v>
      </c>
      <c r="V2" s="205">
        <v>6.6</v>
      </c>
      <c r="W2" s="757">
        <v>6869291.9199999999</v>
      </c>
      <c r="X2" s="205">
        <v>6.6</v>
      </c>
      <c r="Y2" s="758">
        <v>6899113.5</v>
      </c>
      <c r="Z2" s="200">
        <v>6.62</v>
      </c>
      <c r="AA2" s="758">
        <v>6902144.9999999991</v>
      </c>
      <c r="AB2" s="200">
        <v>6.62</v>
      </c>
      <c r="AC2" s="757">
        <v>6877899.4500000002</v>
      </c>
      <c r="AD2" s="205">
        <v>6.61</v>
      </c>
      <c r="AE2" s="757">
        <v>6875479.4100000001</v>
      </c>
      <c r="AF2" s="205">
        <v>6.6</v>
      </c>
      <c r="AG2" s="757">
        <v>6872627.8700000001</v>
      </c>
      <c r="AH2" s="205">
        <v>6.59</v>
      </c>
      <c r="AI2" s="757">
        <v>6879087.54</v>
      </c>
      <c r="AJ2" s="205">
        <v>6.59</v>
      </c>
      <c r="AK2" s="757">
        <v>6402979.5</v>
      </c>
      <c r="AL2" s="205">
        <v>6.13</v>
      </c>
      <c r="AM2" s="757">
        <v>6397785.96</v>
      </c>
      <c r="AN2" s="205">
        <v>6.14</v>
      </c>
      <c r="AO2" s="757">
        <v>6408331.0700000003</v>
      </c>
      <c r="AP2" s="205">
        <v>6.14</v>
      </c>
      <c r="AQ2" s="758">
        <v>6444840</v>
      </c>
      <c r="AR2" s="200">
        <v>6.17</v>
      </c>
    </row>
    <row r="3" spans="1:44">
      <c r="A3" s="418" t="s">
        <v>123</v>
      </c>
      <c r="B3" s="58" t="s">
        <v>15</v>
      </c>
      <c r="C3" s="758">
        <v>4593326.16</v>
      </c>
      <c r="D3" s="200">
        <v>4.3899999999999997</v>
      </c>
      <c r="E3" s="757">
        <v>4594609.38</v>
      </c>
      <c r="F3" s="205">
        <v>4.3899999999999997</v>
      </c>
      <c r="G3" s="757">
        <v>4596591.12</v>
      </c>
      <c r="H3" s="205">
        <v>4.43</v>
      </c>
      <c r="I3" s="758">
        <v>4598395.4400000004</v>
      </c>
      <c r="J3" s="200">
        <v>4.42</v>
      </c>
      <c r="K3" s="758">
        <v>4600199.76</v>
      </c>
      <c r="L3" s="200">
        <v>4.41</v>
      </c>
      <c r="M3" s="758">
        <v>4605655.68</v>
      </c>
      <c r="N3" s="200">
        <v>4.43</v>
      </c>
      <c r="O3" s="758">
        <v>4608748.8</v>
      </c>
      <c r="P3" s="200">
        <v>4.4399999999999995</v>
      </c>
      <c r="Q3" s="758">
        <v>4610553.12</v>
      </c>
      <c r="R3" s="200">
        <v>4.43</v>
      </c>
      <c r="S3" s="757">
        <v>4611783.07</v>
      </c>
      <c r="T3" s="205">
        <v>4.43</v>
      </c>
      <c r="U3" s="758">
        <v>4614161.76</v>
      </c>
      <c r="V3" s="200">
        <v>4.4400000000000004</v>
      </c>
      <c r="W3" s="758">
        <v>4619574.72</v>
      </c>
      <c r="X3" s="200">
        <v>4.4400000000000004</v>
      </c>
      <c r="Y3" s="758">
        <v>4624858.8</v>
      </c>
      <c r="Z3" s="200">
        <v>4.4400000000000004</v>
      </c>
      <c r="AA3" s="758">
        <v>4626577.2</v>
      </c>
      <c r="AB3" s="200">
        <v>4.4400000000000004</v>
      </c>
      <c r="AC3" s="758">
        <v>4628252.6399999997</v>
      </c>
      <c r="AD3" s="200">
        <v>4.45</v>
      </c>
      <c r="AE3" s="758">
        <v>4629971.04</v>
      </c>
      <c r="AF3" s="200">
        <v>4.4400000000000004</v>
      </c>
      <c r="AG3" s="758">
        <v>4635126.24</v>
      </c>
      <c r="AH3" s="200">
        <v>4.4400000000000004</v>
      </c>
      <c r="AI3" s="758">
        <v>4638176.4000000004</v>
      </c>
      <c r="AJ3" s="200">
        <v>4.4400000000000004</v>
      </c>
      <c r="AK3" s="758">
        <v>4639808.88</v>
      </c>
      <c r="AL3" s="200">
        <v>4.4400000000000004</v>
      </c>
      <c r="AM3" s="758">
        <v>4641484.32</v>
      </c>
      <c r="AN3" s="200">
        <v>4.45</v>
      </c>
      <c r="AO3" s="758">
        <v>4643159.76</v>
      </c>
      <c r="AP3" s="200">
        <v>4.45</v>
      </c>
      <c r="AQ3" s="758">
        <v>4646725.4400000004</v>
      </c>
      <c r="AR3" s="200">
        <v>4.45</v>
      </c>
    </row>
    <row r="4" spans="1:44">
      <c r="A4" s="418" t="s">
        <v>115</v>
      </c>
      <c r="B4" s="58" t="s">
        <v>15</v>
      </c>
      <c r="C4" s="746">
        <v>9621028.7899999991</v>
      </c>
      <c r="D4" s="723">
        <v>9.1999999999999993</v>
      </c>
      <c r="E4" s="746">
        <v>9622426.6400000006</v>
      </c>
      <c r="F4" s="723">
        <v>9.19</v>
      </c>
      <c r="G4" s="746">
        <v>9626247.4299999997</v>
      </c>
      <c r="H4" s="723">
        <v>9.27</v>
      </c>
      <c r="I4" s="755">
        <v>9659334.5399999991</v>
      </c>
      <c r="J4" s="716">
        <v>9.2899999999999991</v>
      </c>
      <c r="K4" s="755">
        <v>9662867.3699999992</v>
      </c>
      <c r="L4" s="716">
        <v>9.27</v>
      </c>
      <c r="M4" s="746">
        <v>9645724.1400000006</v>
      </c>
      <c r="N4" s="723">
        <v>9.27</v>
      </c>
      <c r="O4" s="746">
        <v>9651874.6799999997</v>
      </c>
      <c r="P4" s="723">
        <v>9.2899999999999991</v>
      </c>
      <c r="Q4" s="746">
        <v>9655788.6600000001</v>
      </c>
      <c r="R4" s="723">
        <v>9.27</v>
      </c>
      <c r="S4" s="746">
        <v>9659795.8300000001</v>
      </c>
      <c r="T4" s="723">
        <v>9.2799999999999994</v>
      </c>
      <c r="U4" s="746">
        <v>9663709.8100000005</v>
      </c>
      <c r="V4" s="723">
        <v>9.3000000000000007</v>
      </c>
      <c r="W4" s="746">
        <v>9675544.9399999995</v>
      </c>
      <c r="X4" s="723">
        <v>9.3000000000000007</v>
      </c>
      <c r="Y4" s="746">
        <v>9698562.8699999992</v>
      </c>
      <c r="Z4" s="723">
        <v>9.31</v>
      </c>
      <c r="AA4" s="746">
        <v>9702476.8500000015</v>
      </c>
      <c r="AB4" s="723">
        <v>9.31</v>
      </c>
      <c r="AC4" s="746">
        <v>9706297.6400000006</v>
      </c>
      <c r="AD4" s="723">
        <v>9.33</v>
      </c>
      <c r="AE4" s="746">
        <v>9710118.4299999997</v>
      </c>
      <c r="AF4" s="723">
        <v>9.32</v>
      </c>
      <c r="AG4" s="746">
        <v>9737821.0199999996</v>
      </c>
      <c r="AH4" s="723">
        <v>9.33</v>
      </c>
      <c r="AI4" s="746">
        <v>9732111.2699999996</v>
      </c>
      <c r="AJ4" s="723">
        <v>9.33</v>
      </c>
      <c r="AK4" s="746">
        <v>9735932.0600000005</v>
      </c>
      <c r="AL4" s="723">
        <v>9.33</v>
      </c>
      <c r="AM4" s="746">
        <v>9739752.8499999996</v>
      </c>
      <c r="AN4" s="723">
        <v>9.35</v>
      </c>
      <c r="AO4" s="746">
        <v>9743573.6400000006</v>
      </c>
      <c r="AP4" s="723">
        <v>9.34</v>
      </c>
      <c r="AQ4" s="746">
        <v>9745157.8699999992</v>
      </c>
      <c r="AR4" s="723">
        <v>9.32</v>
      </c>
    </row>
    <row r="5" spans="1:44">
      <c r="A5" s="418" t="s">
        <v>118</v>
      </c>
      <c r="B5" s="58" t="s">
        <v>15</v>
      </c>
      <c r="C5" s="745">
        <v>8381256</v>
      </c>
      <c r="D5" s="723">
        <v>8.01</v>
      </c>
      <c r="E5" s="756">
        <v>8411360.8800000008</v>
      </c>
      <c r="F5" s="716">
        <v>8.0399999999999991</v>
      </c>
      <c r="G5" s="756">
        <v>8384220</v>
      </c>
      <c r="H5" s="716">
        <v>8.07</v>
      </c>
      <c r="I5" s="745">
        <v>8387652</v>
      </c>
      <c r="J5" s="723">
        <v>8.07</v>
      </c>
      <c r="K5" s="745">
        <v>8391084</v>
      </c>
      <c r="L5" s="723">
        <v>8.0500000000000007</v>
      </c>
      <c r="M5" s="745">
        <v>8401380</v>
      </c>
      <c r="N5" s="723">
        <v>8.08</v>
      </c>
      <c r="O5" s="745">
        <v>8399976</v>
      </c>
      <c r="P5" s="723">
        <v>8.08</v>
      </c>
      <c r="Q5" s="745">
        <v>8403486</v>
      </c>
      <c r="R5" s="723">
        <v>8.07</v>
      </c>
      <c r="S5" s="745">
        <v>8406996</v>
      </c>
      <c r="T5" s="723">
        <v>8.08</v>
      </c>
      <c r="U5" s="745">
        <v>8410506</v>
      </c>
      <c r="V5" s="723">
        <v>8.09</v>
      </c>
      <c r="W5" s="745">
        <v>8421114</v>
      </c>
      <c r="X5" s="723">
        <v>8.1</v>
      </c>
      <c r="Y5" s="745">
        <v>8445450</v>
      </c>
      <c r="Z5" s="723">
        <v>8.1</v>
      </c>
      <c r="AA5" s="745">
        <v>8448960</v>
      </c>
      <c r="AB5" s="723">
        <v>8.1</v>
      </c>
      <c r="AC5" s="745">
        <v>8452470</v>
      </c>
      <c r="AD5" s="723">
        <v>8.1300000000000008</v>
      </c>
      <c r="AE5" s="745">
        <v>8455980</v>
      </c>
      <c r="AF5" s="723">
        <v>8.1199999999999992</v>
      </c>
      <c r="AG5" s="745">
        <v>8466510</v>
      </c>
      <c r="AH5" s="723">
        <v>8.11</v>
      </c>
      <c r="AI5" s="745">
        <v>8474388</v>
      </c>
      <c r="AJ5" s="723">
        <v>8.1199999999999992</v>
      </c>
      <c r="AK5" s="745">
        <v>8477898</v>
      </c>
      <c r="AL5" s="723">
        <v>8.1199999999999992</v>
      </c>
      <c r="AM5" s="745">
        <v>8481486</v>
      </c>
      <c r="AN5" s="723">
        <v>8.14</v>
      </c>
      <c r="AO5" s="745">
        <v>8484996</v>
      </c>
      <c r="AP5" s="723">
        <v>8.1300000000000008</v>
      </c>
      <c r="AQ5" s="745">
        <v>8486088</v>
      </c>
      <c r="AR5" s="723">
        <v>8.1199999999999992</v>
      </c>
    </row>
    <row r="6" spans="1:44">
      <c r="A6" s="477" t="s">
        <v>124</v>
      </c>
      <c r="B6" s="58" t="s">
        <v>15</v>
      </c>
      <c r="C6" s="746">
        <v>7956818.1600000001</v>
      </c>
      <c r="D6" s="723">
        <v>7.61</v>
      </c>
      <c r="E6" s="746">
        <v>7955854.7800000003</v>
      </c>
      <c r="F6" s="723">
        <v>7.6</v>
      </c>
      <c r="G6" s="746">
        <v>7721076.4500000002</v>
      </c>
      <c r="H6" s="723">
        <v>7.4399999999999995</v>
      </c>
      <c r="I6" s="746">
        <v>7784825.0499999998</v>
      </c>
      <c r="J6" s="723">
        <v>7.48</v>
      </c>
      <c r="K6" s="746">
        <v>7965488.5800000001</v>
      </c>
      <c r="L6" s="723">
        <v>7.64</v>
      </c>
      <c r="M6" s="755">
        <v>7738634.4900000002</v>
      </c>
      <c r="N6" s="716">
        <v>7.44</v>
      </c>
      <c r="O6" s="755">
        <v>7742128.0499999998</v>
      </c>
      <c r="P6" s="716">
        <v>7.45</v>
      </c>
      <c r="Q6" s="755">
        <v>7909700.1200000001</v>
      </c>
      <c r="R6" s="716">
        <v>7.6</v>
      </c>
      <c r="S6" s="746">
        <v>7913028.1600000001</v>
      </c>
      <c r="T6" s="723">
        <v>7.6</v>
      </c>
      <c r="U6" s="755">
        <v>7752698.0800000001</v>
      </c>
      <c r="V6" s="716">
        <v>7.46</v>
      </c>
      <c r="W6" s="755">
        <v>7763268.1100000003</v>
      </c>
      <c r="X6" s="716">
        <v>7.46</v>
      </c>
      <c r="Y6" s="746">
        <v>7912677.8399999999</v>
      </c>
      <c r="Z6" s="723">
        <v>7.59</v>
      </c>
      <c r="AA6" s="746">
        <v>7916268.6200000001</v>
      </c>
      <c r="AB6" s="723">
        <v>7.59</v>
      </c>
      <c r="AC6" s="755">
        <v>7833041.3499999996</v>
      </c>
      <c r="AD6" s="716">
        <v>7.53</v>
      </c>
      <c r="AE6" s="755">
        <v>7836535.79</v>
      </c>
      <c r="AF6" s="716">
        <v>7.52</v>
      </c>
      <c r="AG6" s="755">
        <v>7933784.6200000001</v>
      </c>
      <c r="AH6" s="716">
        <v>7.6</v>
      </c>
      <c r="AI6" s="746">
        <v>7923537.7599999998</v>
      </c>
      <c r="AJ6" s="723">
        <v>7.59</v>
      </c>
      <c r="AK6" s="746">
        <v>7927040.96</v>
      </c>
      <c r="AL6" s="723">
        <v>7.59</v>
      </c>
      <c r="AM6" s="755">
        <v>7857324.6500000004</v>
      </c>
      <c r="AN6" s="716">
        <v>7.54</v>
      </c>
      <c r="AO6" s="746">
        <v>7934134.9400000004</v>
      </c>
      <c r="AP6" s="723">
        <v>7.61</v>
      </c>
      <c r="AQ6" s="746">
        <v>7960233.7800000003</v>
      </c>
      <c r="AR6" s="723">
        <v>7.61</v>
      </c>
    </row>
    <row r="7" spans="1:44">
      <c r="A7" s="418" t="s">
        <v>130</v>
      </c>
      <c r="B7" s="58" t="s">
        <v>15</v>
      </c>
      <c r="C7" s="746">
        <v>8907408</v>
      </c>
      <c r="D7" s="723">
        <v>8.51</v>
      </c>
      <c r="E7" s="746">
        <v>8907487</v>
      </c>
      <c r="F7" s="723">
        <v>8.51</v>
      </c>
      <c r="G7" s="746">
        <v>8911042</v>
      </c>
      <c r="H7" s="723">
        <v>8.58</v>
      </c>
      <c r="I7" s="746">
        <v>8914597</v>
      </c>
      <c r="J7" s="723">
        <v>8.57</v>
      </c>
      <c r="K7" s="746">
        <v>8918231</v>
      </c>
      <c r="L7" s="723">
        <v>8.5500000000000007</v>
      </c>
      <c r="M7" s="746">
        <v>8928975</v>
      </c>
      <c r="N7" s="723">
        <v>8.58</v>
      </c>
      <c r="O7" s="746">
        <v>8856769</v>
      </c>
      <c r="P7" s="723">
        <v>8.52</v>
      </c>
      <c r="Q7" s="746">
        <v>8860482</v>
      </c>
      <c r="R7" s="723">
        <v>8.51</v>
      </c>
      <c r="S7" s="746">
        <v>8864195</v>
      </c>
      <c r="T7" s="723">
        <v>8.52</v>
      </c>
      <c r="U7" s="746">
        <v>8867908</v>
      </c>
      <c r="V7" s="723">
        <v>8.5299999999999994</v>
      </c>
      <c r="W7" s="746">
        <v>8879126</v>
      </c>
      <c r="X7" s="723">
        <v>8.5399999999999991</v>
      </c>
      <c r="Y7" s="746">
        <v>8863010</v>
      </c>
      <c r="Z7" s="723">
        <v>8.5</v>
      </c>
      <c r="AA7" s="746">
        <v>8866802</v>
      </c>
      <c r="AB7" s="723">
        <v>8.5</v>
      </c>
      <c r="AC7" s="755">
        <v>8792741.0800000001</v>
      </c>
      <c r="AD7" s="716">
        <v>8.4599999999999991</v>
      </c>
      <c r="AE7" s="746">
        <v>8874544</v>
      </c>
      <c r="AF7" s="723">
        <v>8.52</v>
      </c>
      <c r="AG7" s="746">
        <v>8886157</v>
      </c>
      <c r="AH7" s="723">
        <v>8.52</v>
      </c>
      <c r="AI7" s="746">
        <v>8876677</v>
      </c>
      <c r="AJ7" s="723">
        <v>8.51</v>
      </c>
      <c r="AK7" s="746">
        <v>8880548</v>
      </c>
      <c r="AL7" s="723">
        <v>8.51</v>
      </c>
      <c r="AM7" s="746">
        <v>8884419</v>
      </c>
      <c r="AN7" s="723">
        <v>8.5299999999999994</v>
      </c>
      <c r="AO7" s="746">
        <v>8888290</v>
      </c>
      <c r="AP7" s="723">
        <v>8.52</v>
      </c>
      <c r="AQ7" s="746">
        <v>8916414</v>
      </c>
      <c r="AR7" s="723">
        <v>8.5299999999999994</v>
      </c>
    </row>
    <row r="8" spans="1:44">
      <c r="A8" s="418" t="s">
        <v>119</v>
      </c>
      <c r="B8" s="58" t="s">
        <v>15</v>
      </c>
      <c r="C8" s="746">
        <v>5368275</v>
      </c>
      <c r="D8" s="723">
        <v>5.13</v>
      </c>
      <c r="E8" s="746">
        <v>5369116.5</v>
      </c>
      <c r="F8" s="723">
        <v>5.13</v>
      </c>
      <c r="G8" s="746">
        <v>5371245</v>
      </c>
      <c r="H8" s="723">
        <v>5.17</v>
      </c>
      <c r="I8" s="746">
        <v>5373373.5</v>
      </c>
      <c r="J8" s="723">
        <v>5.17</v>
      </c>
      <c r="K8" s="746">
        <v>5375551.5</v>
      </c>
      <c r="L8" s="723">
        <v>5.16</v>
      </c>
      <c r="M8" s="746">
        <v>5381986.5</v>
      </c>
      <c r="N8" s="723">
        <v>5.17</v>
      </c>
      <c r="O8" s="746">
        <v>5332932</v>
      </c>
      <c r="P8" s="723">
        <v>5.13</v>
      </c>
      <c r="Q8" s="746">
        <v>5335209</v>
      </c>
      <c r="R8" s="723">
        <v>5.12</v>
      </c>
      <c r="S8" s="746">
        <v>5337436.5</v>
      </c>
      <c r="T8" s="723">
        <v>5.13</v>
      </c>
      <c r="U8" s="746">
        <v>5339664</v>
      </c>
      <c r="V8" s="723">
        <v>5.14</v>
      </c>
      <c r="W8" s="746">
        <v>5346396</v>
      </c>
      <c r="X8" s="723">
        <v>5.14</v>
      </c>
      <c r="Y8" s="746">
        <v>5332239</v>
      </c>
      <c r="Z8" s="723">
        <v>5.12</v>
      </c>
      <c r="AA8" s="746">
        <v>5334565.5</v>
      </c>
      <c r="AB8" s="723">
        <v>5.12</v>
      </c>
      <c r="AC8" s="755">
        <v>5262866.7300000004</v>
      </c>
      <c r="AD8" s="716">
        <v>5.0599999999999996</v>
      </c>
      <c r="AE8" s="746">
        <v>5339218.5</v>
      </c>
      <c r="AF8" s="723">
        <v>5.12</v>
      </c>
      <c r="AG8" s="746">
        <v>5346198</v>
      </c>
      <c r="AH8" s="723">
        <v>5.12</v>
      </c>
      <c r="AI8" s="746">
        <v>5340505.5</v>
      </c>
      <c r="AJ8" s="723">
        <v>5.12</v>
      </c>
      <c r="AK8" s="746">
        <v>5342832</v>
      </c>
      <c r="AL8" s="723">
        <v>5.12</v>
      </c>
      <c r="AM8" s="746">
        <v>5345158.5</v>
      </c>
      <c r="AN8" s="723">
        <v>5.13</v>
      </c>
      <c r="AO8" s="746">
        <v>5347485</v>
      </c>
      <c r="AP8" s="723">
        <v>5.13</v>
      </c>
      <c r="AQ8" s="746">
        <v>5366196</v>
      </c>
      <c r="AR8" s="723">
        <v>5.13</v>
      </c>
    </row>
    <row r="9" spans="1:44" ht="16.5" thickBot="1">
      <c r="A9" s="1020" t="s">
        <v>113</v>
      </c>
      <c r="B9" s="1048"/>
      <c r="C9" s="444">
        <f t="shared" ref="C9:D9" si="0">SUM(C2:C8)</f>
        <v>51643303.370000005</v>
      </c>
      <c r="D9" s="639">
        <f t="shared" si="0"/>
        <v>49.37</v>
      </c>
      <c r="E9" s="444">
        <f t="shared" ref="E9:F9" si="1">SUM(E2:E8)</f>
        <v>51723139.18</v>
      </c>
      <c r="F9" s="639">
        <f t="shared" si="1"/>
        <v>49.42</v>
      </c>
      <c r="G9" s="444">
        <f t="shared" ref="G9:H9" si="2">SUM(G2:G8)</f>
        <v>51425869.329999998</v>
      </c>
      <c r="H9" s="639">
        <f t="shared" si="2"/>
        <v>49.519999999999996</v>
      </c>
      <c r="I9" s="444">
        <f t="shared" ref="I9:J9" si="3">SUM(I2:I8)</f>
        <v>51550361.32</v>
      </c>
      <c r="J9" s="639">
        <f t="shared" si="3"/>
        <v>49.57</v>
      </c>
      <c r="K9" s="444">
        <f t="shared" ref="K9:L9" si="4">SUM(K2:K8)</f>
        <v>51784220.210000001</v>
      </c>
      <c r="L9" s="639">
        <f t="shared" si="4"/>
        <v>49.67</v>
      </c>
      <c r="M9" s="444">
        <f t="shared" ref="M9:N9" si="5">SUM(M2:M8)</f>
        <v>51551563.079999998</v>
      </c>
      <c r="N9" s="639">
        <f t="shared" si="5"/>
        <v>49.55</v>
      </c>
      <c r="O9" s="444">
        <f t="shared" ref="O9:P9" si="6">SUM(O2:O8)</f>
        <v>51444505.409999996</v>
      </c>
      <c r="P9" s="639">
        <f t="shared" si="6"/>
        <v>49.500000000000007</v>
      </c>
      <c r="Q9" s="444">
        <f t="shared" ref="Q9:R9" si="7">SUM(Q2:Q8)</f>
        <v>51630164.740000002</v>
      </c>
      <c r="R9" s="639">
        <f t="shared" si="7"/>
        <v>49.58</v>
      </c>
      <c r="S9" s="444">
        <f t="shared" ref="S9:T9" si="8">SUM(S2:S8)</f>
        <v>51651049.349999994</v>
      </c>
      <c r="T9" s="639">
        <f t="shared" si="8"/>
        <v>49.63</v>
      </c>
      <c r="U9" s="444">
        <f t="shared" ref="U9:V9" si="9">SUM(U2:U8)</f>
        <v>51512041.049999997</v>
      </c>
      <c r="V9" s="639">
        <f t="shared" si="9"/>
        <v>49.56</v>
      </c>
      <c r="W9" s="444">
        <f t="shared" ref="W9:X9" si="10">SUM(W2:W8)</f>
        <v>51574315.689999998</v>
      </c>
      <c r="X9" s="639">
        <f t="shared" si="10"/>
        <v>49.58</v>
      </c>
      <c r="Y9" s="444">
        <f t="shared" ref="Y9:Z9" si="11">SUM(Y2:Y8)</f>
        <v>51775912.010000005</v>
      </c>
      <c r="Z9" s="639">
        <f t="shared" si="11"/>
        <v>49.68</v>
      </c>
      <c r="AA9" s="444">
        <f t="shared" ref="AA9:AB9" si="12">SUM(AA2:AA8)</f>
        <v>51797795.170000002</v>
      </c>
      <c r="AB9" s="639">
        <f t="shared" si="12"/>
        <v>49.68</v>
      </c>
      <c r="AC9" s="444">
        <f t="shared" ref="AC9:AD9" si="13">SUM(AC2:AC8)</f>
        <v>51553568.890000001</v>
      </c>
      <c r="AD9" s="639">
        <f t="shared" si="13"/>
        <v>49.570000000000007</v>
      </c>
      <c r="AE9" s="444">
        <f t="shared" ref="AE9:AF9" si="14">SUM(AE2:AE8)</f>
        <v>51721847.170000002</v>
      </c>
      <c r="AF9" s="639">
        <f t="shared" si="14"/>
        <v>49.639999999999993</v>
      </c>
      <c r="AG9" s="444">
        <f t="shared" ref="AG9:AH9" si="15">SUM(AG2:AG8)</f>
        <v>51878224.75</v>
      </c>
      <c r="AH9" s="639">
        <f t="shared" si="15"/>
        <v>49.71</v>
      </c>
      <c r="AI9" s="444">
        <f t="shared" ref="AI9:AJ9" si="16">SUM(AI2:AI8)</f>
        <v>51864483.469999999</v>
      </c>
      <c r="AJ9" s="639">
        <f t="shared" si="16"/>
        <v>49.699999999999989</v>
      </c>
      <c r="AK9" s="444">
        <f t="shared" ref="AK9:AL9" si="17">SUM(AK2:AK8)</f>
        <v>51407039.399999999</v>
      </c>
      <c r="AL9" s="639">
        <f t="shared" si="17"/>
        <v>49.239999999999995</v>
      </c>
      <c r="AM9" s="444">
        <f t="shared" ref="AM9:AN9" si="18">SUM(AM2:AM8)</f>
        <v>51347411.280000001</v>
      </c>
      <c r="AN9" s="639">
        <f t="shared" si="18"/>
        <v>49.28</v>
      </c>
      <c r="AO9" s="444">
        <f t="shared" ref="AO9:AP9" si="19">SUM(AO2:AO8)</f>
        <v>51449970.409999996</v>
      </c>
      <c r="AP9" s="639">
        <f t="shared" si="19"/>
        <v>49.32</v>
      </c>
      <c r="AQ9" s="444">
        <f t="shared" ref="AQ9:AR9" si="20">SUM(AQ2:AQ8)</f>
        <v>51565655.090000004</v>
      </c>
      <c r="AR9" s="639">
        <f t="shared" si="20"/>
        <v>49.330000000000005</v>
      </c>
    </row>
    <row r="10" spans="1:44" ht="15">
      <c r="A10" s="419" t="s">
        <v>25</v>
      </c>
      <c r="B10" s="422" t="s">
        <v>26</v>
      </c>
      <c r="C10" s="762">
        <v>3898387.62</v>
      </c>
      <c r="D10" s="200">
        <v>3.73</v>
      </c>
      <c r="E10" s="762">
        <v>3899922.06</v>
      </c>
      <c r="F10" s="200">
        <v>3.73</v>
      </c>
      <c r="G10" s="762">
        <v>3901457.26</v>
      </c>
      <c r="H10" s="200">
        <v>3.76</v>
      </c>
      <c r="I10" s="762">
        <v>3902992.83</v>
      </c>
      <c r="J10" s="200">
        <v>3.76</v>
      </c>
      <c r="K10" s="762">
        <v>3904529.17</v>
      </c>
      <c r="L10" s="200">
        <v>3.75</v>
      </c>
      <c r="M10" s="762">
        <v>3909141.94</v>
      </c>
      <c r="N10" s="200">
        <v>3.76</v>
      </c>
      <c r="O10" s="762">
        <v>3910680.92</v>
      </c>
      <c r="P10" s="200">
        <v>3.76</v>
      </c>
      <c r="Q10" s="762">
        <v>3912220.28</v>
      </c>
      <c r="R10" s="200">
        <v>3.76</v>
      </c>
      <c r="S10" s="762">
        <v>3913760.4</v>
      </c>
      <c r="T10" s="200">
        <v>3.76</v>
      </c>
      <c r="U10" s="762">
        <v>3915300.89</v>
      </c>
      <c r="V10" s="200">
        <v>3.77</v>
      </c>
      <c r="W10" s="762">
        <v>3919926.17</v>
      </c>
      <c r="X10" s="200">
        <v>3.77</v>
      </c>
      <c r="Y10" s="762">
        <v>3921469.31</v>
      </c>
      <c r="Z10" s="200">
        <v>3.76</v>
      </c>
      <c r="AA10" s="762">
        <v>3923012.83</v>
      </c>
      <c r="AB10" s="200">
        <v>3.76</v>
      </c>
      <c r="AC10" s="762">
        <v>3786215.36</v>
      </c>
      <c r="AD10" s="200">
        <v>3.64</v>
      </c>
      <c r="AE10" s="762">
        <v>3787705.89</v>
      </c>
      <c r="AF10" s="200">
        <v>3.64</v>
      </c>
      <c r="AG10" s="762">
        <v>3792180.52</v>
      </c>
      <c r="AH10" s="200">
        <v>3.63</v>
      </c>
      <c r="AI10" s="762">
        <v>3793673.33</v>
      </c>
      <c r="AJ10" s="200">
        <v>3.6300000000000003</v>
      </c>
      <c r="AK10" s="762">
        <v>3795166.51</v>
      </c>
      <c r="AL10" s="200">
        <v>3.64</v>
      </c>
      <c r="AM10" s="762">
        <v>3796660.45</v>
      </c>
      <c r="AN10" s="200">
        <v>3.64</v>
      </c>
      <c r="AO10" s="762">
        <v>3798155.14</v>
      </c>
      <c r="AP10" s="200">
        <v>3.64</v>
      </c>
      <c r="AQ10" s="762">
        <v>3802642.26</v>
      </c>
      <c r="AR10" s="200">
        <v>3.64</v>
      </c>
    </row>
    <row r="11" spans="1:44" ht="15">
      <c r="A11" s="419" t="s">
        <v>116</v>
      </c>
      <c r="B11" s="422" t="s">
        <v>117</v>
      </c>
      <c r="C11" s="762">
        <v>2475053.66</v>
      </c>
      <c r="D11" s="200">
        <v>2.37</v>
      </c>
      <c r="E11" s="762">
        <v>2476182.91</v>
      </c>
      <c r="F11" s="200">
        <v>2.37</v>
      </c>
      <c r="G11" s="762">
        <v>2477312.63</v>
      </c>
      <c r="H11" s="200">
        <v>2.3800000000000003</v>
      </c>
      <c r="I11" s="762">
        <v>2478442.6</v>
      </c>
      <c r="J11" s="200">
        <v>2.38</v>
      </c>
      <c r="K11" s="762">
        <v>2479573.5299999998</v>
      </c>
      <c r="L11" s="200">
        <v>2.38</v>
      </c>
      <c r="M11" s="762">
        <v>2482968.7000000002</v>
      </c>
      <c r="N11" s="200">
        <v>2.3800000000000003</v>
      </c>
      <c r="O11" s="762">
        <v>2484101.54</v>
      </c>
      <c r="P11" s="200">
        <v>2.39</v>
      </c>
      <c r="Q11" s="762">
        <v>2485234.86</v>
      </c>
      <c r="R11" s="200">
        <v>2.3800000000000003</v>
      </c>
      <c r="S11" s="762">
        <v>2486368.66</v>
      </c>
      <c r="T11" s="200">
        <v>2.39</v>
      </c>
      <c r="U11" s="762">
        <v>2487502.94</v>
      </c>
      <c r="V11" s="200">
        <v>2.39</v>
      </c>
      <c r="W11" s="762">
        <v>2490908.88</v>
      </c>
      <c r="X11" s="200">
        <v>2.39</v>
      </c>
      <c r="Y11" s="762">
        <v>2492045.31</v>
      </c>
      <c r="Z11" s="200">
        <v>2.39</v>
      </c>
      <c r="AA11" s="762">
        <v>2493182.23</v>
      </c>
      <c r="AB11" s="200">
        <v>2.39</v>
      </c>
      <c r="AC11" s="762">
        <v>2494319.85</v>
      </c>
      <c r="AD11" s="200">
        <v>2.4</v>
      </c>
      <c r="AE11" s="762">
        <v>2394000</v>
      </c>
      <c r="AF11" s="200">
        <v>2.2999999999999998</v>
      </c>
      <c r="AG11" s="762">
        <v>2397278.1</v>
      </c>
      <c r="AH11" s="200">
        <v>2.29</v>
      </c>
      <c r="AI11" s="762">
        <v>2398371.6800000002</v>
      </c>
      <c r="AJ11" s="200">
        <v>2.2999999999999998</v>
      </c>
      <c r="AK11" s="762">
        <v>2399465.98</v>
      </c>
      <c r="AL11" s="200">
        <v>2.2999999999999998</v>
      </c>
      <c r="AM11" s="762">
        <v>2400560.52</v>
      </c>
      <c r="AN11" s="200">
        <v>2.2999999999999998</v>
      </c>
      <c r="AO11" s="762">
        <v>2401655.77</v>
      </c>
      <c r="AP11" s="200">
        <v>2.2999999999999998</v>
      </c>
      <c r="AQ11" s="762">
        <v>2404944.41</v>
      </c>
      <c r="AR11" s="200">
        <v>2.2999999999999998</v>
      </c>
    </row>
    <row r="12" spans="1:44" ht="15">
      <c r="A12" s="497"/>
      <c r="B12" s="498"/>
      <c r="C12" s="762">
        <v>0</v>
      </c>
      <c r="D12" s="200">
        <v>0</v>
      </c>
      <c r="E12" s="762">
        <v>0</v>
      </c>
      <c r="F12" s="200">
        <v>0</v>
      </c>
      <c r="G12" s="762">
        <v>0</v>
      </c>
      <c r="H12" s="200">
        <v>0</v>
      </c>
      <c r="I12" s="762">
        <v>0</v>
      </c>
      <c r="J12" s="200">
        <v>0</v>
      </c>
      <c r="K12" s="762">
        <v>0</v>
      </c>
      <c r="L12" s="200">
        <v>0</v>
      </c>
      <c r="M12" s="762">
        <v>0</v>
      </c>
      <c r="N12" s="200">
        <v>0</v>
      </c>
      <c r="O12" s="762">
        <v>0</v>
      </c>
      <c r="P12" s="200">
        <v>0</v>
      </c>
      <c r="Q12" s="762">
        <v>0</v>
      </c>
      <c r="R12" s="200">
        <v>0</v>
      </c>
      <c r="S12" s="762">
        <v>0</v>
      </c>
      <c r="T12" s="200">
        <v>0</v>
      </c>
      <c r="U12" s="762">
        <v>0</v>
      </c>
      <c r="V12" s="200">
        <v>0</v>
      </c>
      <c r="W12" s="762">
        <v>0</v>
      </c>
      <c r="X12" s="200">
        <v>0</v>
      </c>
      <c r="Y12" s="762">
        <v>0</v>
      </c>
      <c r="Z12" s="200">
        <v>0</v>
      </c>
      <c r="AA12" s="762">
        <v>0</v>
      </c>
      <c r="AB12" s="200">
        <v>0</v>
      </c>
      <c r="AC12" s="762">
        <v>0</v>
      </c>
      <c r="AD12" s="200">
        <v>0</v>
      </c>
      <c r="AE12" s="762">
        <v>0</v>
      </c>
      <c r="AF12" s="200">
        <v>0</v>
      </c>
      <c r="AG12" s="762">
        <v>0</v>
      </c>
      <c r="AH12" s="200">
        <v>0</v>
      </c>
      <c r="AI12" s="762">
        <v>0</v>
      </c>
      <c r="AJ12" s="200">
        <v>0</v>
      </c>
      <c r="AK12" s="762">
        <v>0</v>
      </c>
      <c r="AL12" s="200">
        <v>0</v>
      </c>
      <c r="AM12" s="762">
        <v>0</v>
      </c>
      <c r="AN12" s="200">
        <v>0</v>
      </c>
      <c r="AO12" s="762">
        <v>0</v>
      </c>
      <c r="AP12" s="200">
        <v>0</v>
      </c>
      <c r="AQ12" s="762">
        <v>0</v>
      </c>
      <c r="AR12" s="200">
        <v>0</v>
      </c>
    </row>
    <row r="13" spans="1:44" ht="15">
      <c r="A13" s="420" t="s">
        <v>38</v>
      </c>
      <c r="B13" s="420" t="s">
        <v>39</v>
      </c>
      <c r="C13" s="762">
        <v>4093930</v>
      </c>
      <c r="D13" s="763">
        <v>3.91</v>
      </c>
      <c r="E13" s="762">
        <v>4095690.4</v>
      </c>
      <c r="F13" s="763">
        <v>3.91</v>
      </c>
      <c r="G13" s="762">
        <v>4097451.2</v>
      </c>
      <c r="H13" s="763">
        <v>3.95</v>
      </c>
      <c r="I13" s="762">
        <v>4099212.8</v>
      </c>
      <c r="J13" s="763">
        <v>3.94</v>
      </c>
      <c r="K13" s="762">
        <v>4100975.2</v>
      </c>
      <c r="L13" s="763">
        <v>3.93</v>
      </c>
      <c r="M13" s="762">
        <v>4106266.8</v>
      </c>
      <c r="N13" s="763">
        <v>3.95</v>
      </c>
      <c r="O13" s="762">
        <v>4108032</v>
      </c>
      <c r="P13" s="763">
        <v>3.95</v>
      </c>
      <c r="Q13" s="762">
        <v>4109798.4</v>
      </c>
      <c r="R13" s="763">
        <v>3.95</v>
      </c>
      <c r="S13" s="762">
        <v>4111565.2</v>
      </c>
      <c r="T13" s="763">
        <v>3.95</v>
      </c>
      <c r="U13" s="762">
        <v>4113332.8</v>
      </c>
      <c r="V13" s="763">
        <v>3.96</v>
      </c>
      <c r="W13" s="762">
        <v>4118640.4</v>
      </c>
      <c r="X13" s="763">
        <v>3.96</v>
      </c>
      <c r="Y13" s="762">
        <v>4120411.2</v>
      </c>
      <c r="Z13" s="763">
        <v>3.95</v>
      </c>
      <c r="AA13" s="762">
        <v>4122182.4</v>
      </c>
      <c r="AB13" s="763">
        <v>3.95</v>
      </c>
      <c r="AC13" s="762">
        <v>4123954.8</v>
      </c>
      <c r="AD13" s="763">
        <v>3.9600000000000004</v>
      </c>
      <c r="AE13" s="762">
        <v>4125728</v>
      </c>
      <c r="AF13" s="763">
        <v>3.96</v>
      </c>
      <c r="AG13" s="762">
        <v>4131051.2</v>
      </c>
      <c r="AH13" s="763">
        <v>3.96</v>
      </c>
      <c r="AI13" s="762">
        <v>4132827.6</v>
      </c>
      <c r="AJ13" s="763">
        <v>3.96</v>
      </c>
      <c r="AK13" s="762">
        <v>4134604.4</v>
      </c>
      <c r="AL13" s="763">
        <v>3.96</v>
      </c>
      <c r="AM13" s="762">
        <v>4136382</v>
      </c>
      <c r="AN13" s="763">
        <v>3.97</v>
      </c>
      <c r="AO13" s="762">
        <v>4138160</v>
      </c>
      <c r="AP13" s="763">
        <v>3.97</v>
      </c>
      <c r="AQ13" s="762">
        <v>4143499.6</v>
      </c>
      <c r="AR13" s="763">
        <v>3.96</v>
      </c>
    </row>
    <row r="14" spans="1:44" thickBot="1">
      <c r="A14" s="421" t="s">
        <v>98</v>
      </c>
      <c r="B14" s="421" t="s">
        <v>99</v>
      </c>
      <c r="C14" s="762">
        <v>3017328.3</v>
      </c>
      <c r="D14" s="200">
        <v>2.88</v>
      </c>
      <c r="E14" s="762">
        <v>3018665.4</v>
      </c>
      <c r="F14" s="200">
        <v>2.88</v>
      </c>
      <c r="G14" s="762">
        <v>3020003.1</v>
      </c>
      <c r="H14" s="200">
        <v>2.91</v>
      </c>
      <c r="I14" s="762">
        <v>3021341.4</v>
      </c>
      <c r="J14" s="200">
        <v>2.91</v>
      </c>
      <c r="K14" s="762">
        <v>3022680</v>
      </c>
      <c r="L14" s="200">
        <v>2.9</v>
      </c>
      <c r="M14" s="762">
        <v>3026700.3</v>
      </c>
      <c r="N14" s="200">
        <v>2.91</v>
      </c>
      <c r="O14" s="762">
        <v>3028041.6</v>
      </c>
      <c r="P14" s="200">
        <v>2.92</v>
      </c>
      <c r="Q14" s="762">
        <v>3029383.2</v>
      </c>
      <c r="R14" s="200">
        <v>2.91</v>
      </c>
      <c r="S14" s="762">
        <v>3030725.7</v>
      </c>
      <c r="T14" s="200">
        <v>2.91</v>
      </c>
      <c r="U14" s="762">
        <v>3032068.8</v>
      </c>
      <c r="V14" s="200">
        <v>2.92</v>
      </c>
      <c r="W14" s="762">
        <v>3036101.4</v>
      </c>
      <c r="X14" s="200">
        <v>2.92</v>
      </c>
      <c r="Y14" s="762">
        <v>3037446.9</v>
      </c>
      <c r="Z14" s="200">
        <v>2.91</v>
      </c>
      <c r="AA14" s="762">
        <v>3038792.7</v>
      </c>
      <c r="AB14" s="200">
        <v>2.92</v>
      </c>
      <c r="AC14" s="762">
        <v>3040139.4</v>
      </c>
      <c r="AD14" s="200">
        <v>2.9299999999999997</v>
      </c>
      <c r="AE14" s="762">
        <v>3041486.7</v>
      </c>
      <c r="AF14" s="200">
        <v>2.92</v>
      </c>
      <c r="AG14" s="762">
        <v>3045531.6</v>
      </c>
      <c r="AH14" s="200">
        <v>2.92</v>
      </c>
      <c r="AI14" s="762">
        <v>3046881.3</v>
      </c>
      <c r="AJ14" s="200">
        <v>2.92</v>
      </c>
      <c r="AK14" s="762">
        <v>3048231.6</v>
      </c>
      <c r="AL14" s="200">
        <v>2.92</v>
      </c>
      <c r="AM14" s="762">
        <v>3049582.2</v>
      </c>
      <c r="AN14" s="200">
        <v>2.93</v>
      </c>
      <c r="AO14" s="762">
        <v>3050933.7</v>
      </c>
      <c r="AP14" s="200">
        <v>2.92</v>
      </c>
      <c r="AQ14" s="762">
        <v>3054991.5</v>
      </c>
      <c r="AR14" s="200">
        <v>2.92</v>
      </c>
    </row>
    <row r="15" spans="1:44" ht="16.5" thickBot="1">
      <c r="A15" s="1022" t="s">
        <v>114</v>
      </c>
      <c r="B15" s="1047"/>
      <c r="C15" s="598">
        <f t="shared" ref="C15:D15" si="21">SUM(C10:C14)</f>
        <v>13484699.580000002</v>
      </c>
      <c r="D15" s="646">
        <f t="shared" si="21"/>
        <v>12.89</v>
      </c>
      <c r="E15" s="598">
        <f t="shared" ref="E15:F15" si="22">SUM(E10:E14)</f>
        <v>13490460.770000001</v>
      </c>
      <c r="F15" s="646">
        <f t="shared" si="22"/>
        <v>12.89</v>
      </c>
      <c r="G15" s="598">
        <f t="shared" ref="G15:H15" si="23">SUM(G10:G14)</f>
        <v>13496224.189999999</v>
      </c>
      <c r="H15" s="646">
        <f t="shared" si="23"/>
        <v>13</v>
      </c>
      <c r="I15" s="598">
        <f t="shared" ref="I15:J15" si="24">SUM(I10:I14)</f>
        <v>13501989.630000001</v>
      </c>
      <c r="J15" s="646">
        <f t="shared" si="24"/>
        <v>12.99</v>
      </c>
      <c r="K15" s="598">
        <f t="shared" ref="K15:L15" si="25">SUM(K10:K14)</f>
        <v>13507757.899999999</v>
      </c>
      <c r="L15" s="646">
        <f t="shared" si="25"/>
        <v>12.96</v>
      </c>
      <c r="M15" s="598">
        <f t="shared" ref="M15:N15" si="26">SUM(M10:M14)</f>
        <v>13525077.740000002</v>
      </c>
      <c r="N15" s="646">
        <f t="shared" si="26"/>
        <v>13</v>
      </c>
      <c r="O15" s="598">
        <f t="shared" ref="O15:P15" si="27">SUM(O10:O14)</f>
        <v>13530856.060000001</v>
      </c>
      <c r="P15" s="646">
        <f t="shared" si="27"/>
        <v>13.020000000000001</v>
      </c>
      <c r="Q15" s="598">
        <f t="shared" ref="Q15:R15" si="28">SUM(Q10:Q14)</f>
        <v>13536636.739999998</v>
      </c>
      <c r="R15" s="646">
        <f t="shared" si="28"/>
        <v>13</v>
      </c>
      <c r="S15" s="598">
        <f t="shared" ref="S15:T15" si="29">SUM(S10:S14)</f>
        <v>13542419.960000001</v>
      </c>
      <c r="T15" s="646">
        <f t="shared" si="29"/>
        <v>13.010000000000002</v>
      </c>
      <c r="U15" s="598">
        <f t="shared" ref="U15:V15" si="30">SUM(U10:U14)</f>
        <v>13548205.43</v>
      </c>
      <c r="V15" s="646">
        <f t="shared" si="30"/>
        <v>13.040000000000001</v>
      </c>
      <c r="W15" s="598">
        <f t="shared" ref="W15:X15" si="31">SUM(W10:W14)</f>
        <v>13565576.85</v>
      </c>
      <c r="X15" s="646">
        <f t="shared" si="31"/>
        <v>13.040000000000001</v>
      </c>
      <c r="Y15" s="598">
        <f t="shared" ref="Y15:Z15" si="32">SUM(Y10:Y14)</f>
        <v>13571372.720000001</v>
      </c>
      <c r="Z15" s="646">
        <f t="shared" si="32"/>
        <v>13.010000000000002</v>
      </c>
      <c r="AA15" s="598">
        <f t="shared" ref="AA15:AB15" si="33">SUM(AA10:AA14)</f>
        <v>13577170.16</v>
      </c>
      <c r="AB15" s="646">
        <f t="shared" si="33"/>
        <v>13.020000000000001</v>
      </c>
      <c r="AC15" s="598">
        <f t="shared" ref="AC15:AD15" si="34">SUM(AC10:AC14)</f>
        <v>13444629.41</v>
      </c>
      <c r="AD15" s="646">
        <f t="shared" si="34"/>
        <v>12.93</v>
      </c>
      <c r="AE15" s="598">
        <f t="shared" ref="AE15:AF15" si="35">SUM(AE10:AE14)</f>
        <v>13348920.59</v>
      </c>
      <c r="AF15" s="646">
        <f t="shared" si="35"/>
        <v>12.819999999999999</v>
      </c>
      <c r="AG15" s="598">
        <f t="shared" ref="AG15:AH15" si="36">SUM(AG10:AG14)</f>
        <v>13366041.42</v>
      </c>
      <c r="AH15" s="646">
        <f t="shared" si="36"/>
        <v>12.799999999999999</v>
      </c>
      <c r="AI15" s="598">
        <f t="shared" ref="AI15:AJ15" si="37">SUM(AI10:AI14)</f>
        <v>13371753.91</v>
      </c>
      <c r="AJ15" s="646">
        <f t="shared" si="37"/>
        <v>12.81</v>
      </c>
      <c r="AK15" s="598">
        <f t="shared" ref="AK15:AL15" si="38">SUM(AK10:AK14)</f>
        <v>13377468.49</v>
      </c>
      <c r="AL15" s="646">
        <f t="shared" si="38"/>
        <v>12.819999999999999</v>
      </c>
      <c r="AM15" s="598">
        <f t="shared" ref="AM15:AN15" si="39">SUM(AM10:AM14)</f>
        <v>13383185.170000002</v>
      </c>
      <c r="AN15" s="646">
        <f t="shared" si="39"/>
        <v>12.84</v>
      </c>
      <c r="AO15" s="598">
        <f t="shared" ref="AO15:AP15" si="40">SUM(AO10:AO14)</f>
        <v>13388904.609999999</v>
      </c>
      <c r="AP15" s="646">
        <f t="shared" si="40"/>
        <v>12.83</v>
      </c>
      <c r="AQ15" s="598">
        <f t="shared" ref="AQ15:AR15" si="41">SUM(AQ10:AQ14)</f>
        <v>13406077.77</v>
      </c>
      <c r="AR15" s="646">
        <f t="shared" si="41"/>
        <v>12.819999999999999</v>
      </c>
    </row>
    <row r="16" spans="1:44" ht="31.5">
      <c r="A16" s="77" t="s">
        <v>41</v>
      </c>
      <c r="B16" s="78" t="s">
        <v>42</v>
      </c>
      <c r="C16" s="599"/>
      <c r="D16" s="648"/>
      <c r="E16" s="599"/>
      <c r="F16" s="648"/>
      <c r="G16" s="599"/>
      <c r="H16" s="648"/>
      <c r="I16" s="599"/>
      <c r="J16" s="648"/>
      <c r="K16" s="599"/>
      <c r="L16" s="648"/>
      <c r="M16" s="599"/>
      <c r="N16" s="648"/>
      <c r="O16" s="599"/>
      <c r="P16" s="648"/>
      <c r="Q16" s="599"/>
      <c r="R16" s="648"/>
      <c r="S16" s="599"/>
      <c r="T16" s="648"/>
      <c r="U16" s="599"/>
      <c r="V16" s="648"/>
      <c r="W16" s="599"/>
      <c r="X16" s="648"/>
      <c r="Y16" s="599"/>
      <c r="Z16" s="648"/>
      <c r="AA16" s="599"/>
      <c r="AB16" s="648"/>
      <c r="AC16" s="599"/>
      <c r="AD16" s="648"/>
      <c r="AE16" s="599"/>
      <c r="AF16" s="648"/>
      <c r="AG16" s="599"/>
      <c r="AH16" s="648"/>
      <c r="AI16" s="599"/>
      <c r="AJ16" s="648"/>
      <c r="AK16" s="599"/>
      <c r="AL16" s="648"/>
      <c r="AM16" s="599"/>
      <c r="AN16" s="648"/>
      <c r="AO16" s="599"/>
      <c r="AP16" s="648"/>
      <c r="AQ16" s="599"/>
      <c r="AR16" s="648"/>
    </row>
    <row r="17" spans="1:44" ht="16.5" thickBot="1">
      <c r="A17" s="460">
        <v>22048622</v>
      </c>
      <c r="B17" s="461" t="s">
        <v>121</v>
      </c>
      <c r="C17" s="600">
        <v>1706400</v>
      </c>
      <c r="D17" s="648">
        <v>1.63</v>
      </c>
      <c r="E17" s="600">
        <v>1706400</v>
      </c>
      <c r="F17" s="648">
        <v>1.63</v>
      </c>
      <c r="G17" s="600">
        <v>1706400</v>
      </c>
      <c r="H17" s="648">
        <v>1.64</v>
      </c>
      <c r="I17" s="600">
        <v>1706400</v>
      </c>
      <c r="J17" s="648">
        <v>1.64</v>
      </c>
      <c r="K17" s="600">
        <v>1706400</v>
      </c>
      <c r="L17" s="648">
        <v>1.64</v>
      </c>
      <c r="M17" s="600">
        <v>1706400</v>
      </c>
      <c r="N17" s="648">
        <v>1.64</v>
      </c>
      <c r="O17" s="600">
        <v>1706400</v>
      </c>
      <c r="P17" s="648">
        <v>1.64</v>
      </c>
      <c r="Q17" s="600">
        <v>1706400</v>
      </c>
      <c r="R17" s="648">
        <v>1.64</v>
      </c>
      <c r="S17" s="600">
        <v>1706400</v>
      </c>
      <c r="T17" s="648">
        <v>1.64</v>
      </c>
      <c r="U17" s="600">
        <v>1706400</v>
      </c>
      <c r="V17" s="648">
        <v>1.64</v>
      </c>
      <c r="W17" s="600">
        <v>1706400</v>
      </c>
      <c r="X17" s="648">
        <v>1.64</v>
      </c>
      <c r="Y17" s="600">
        <v>1706400</v>
      </c>
      <c r="Z17" s="648">
        <v>1.64</v>
      </c>
      <c r="AA17" s="600">
        <v>1706400</v>
      </c>
      <c r="AB17" s="648">
        <v>1.64</v>
      </c>
      <c r="AC17" s="600">
        <v>1706400</v>
      </c>
      <c r="AD17" s="648">
        <v>1.64</v>
      </c>
      <c r="AE17" s="600">
        <v>1706400</v>
      </c>
      <c r="AF17" s="648">
        <v>1.64</v>
      </c>
      <c r="AG17" s="600">
        <v>1706400</v>
      </c>
      <c r="AH17" s="648">
        <v>1.64</v>
      </c>
      <c r="AI17" s="600">
        <v>1706400</v>
      </c>
      <c r="AJ17" s="648">
        <v>1.64</v>
      </c>
      <c r="AK17" s="600">
        <v>1706400</v>
      </c>
      <c r="AL17" s="648">
        <v>1.64</v>
      </c>
      <c r="AM17" s="600">
        <v>1706400</v>
      </c>
      <c r="AN17" s="648">
        <v>1.64</v>
      </c>
      <c r="AO17" s="600">
        <v>1706400</v>
      </c>
      <c r="AP17" s="648">
        <v>1.64</v>
      </c>
      <c r="AQ17" s="600">
        <v>1706400</v>
      </c>
      <c r="AR17" s="648">
        <v>1.64</v>
      </c>
    </row>
    <row r="18" spans="1:44" ht="16.5" thickBot="1">
      <c r="A18" s="1039" t="s">
        <v>112</v>
      </c>
      <c r="B18" s="1039"/>
      <c r="C18" s="601">
        <f>SUM(C16:C17)</f>
        <v>1706400</v>
      </c>
      <c r="D18" s="650">
        <f>D17</f>
        <v>1.63</v>
      </c>
      <c r="E18" s="601">
        <f>SUM(E16:E17)</f>
        <v>1706400</v>
      </c>
      <c r="F18" s="650">
        <f>F17</f>
        <v>1.63</v>
      </c>
      <c r="G18" s="601">
        <f>SUM(G16:G17)</f>
        <v>1706400</v>
      </c>
      <c r="H18" s="650">
        <f>H17</f>
        <v>1.64</v>
      </c>
      <c r="I18" s="601">
        <f>SUM(I16:I17)</f>
        <v>1706400</v>
      </c>
      <c r="J18" s="650">
        <v>1.63</v>
      </c>
      <c r="K18" s="601">
        <f>SUM(K16:K17)</f>
        <v>1706400</v>
      </c>
      <c r="L18" s="650">
        <v>1.63</v>
      </c>
      <c r="M18" s="601">
        <f>SUM(M16:M17)</f>
        <v>1706400</v>
      </c>
      <c r="N18" s="650">
        <v>1.63</v>
      </c>
      <c r="O18" s="601">
        <f>SUM(O16:O17)</f>
        <v>1706400</v>
      </c>
      <c r="P18" s="650">
        <v>1.63</v>
      </c>
      <c r="Q18" s="601">
        <f>SUM(Q16:Q17)</f>
        <v>1706400</v>
      </c>
      <c r="R18" s="650">
        <v>1.63</v>
      </c>
      <c r="S18" s="601">
        <f>SUM(S16:S17)</f>
        <v>1706400</v>
      </c>
      <c r="T18" s="650">
        <v>1.63</v>
      </c>
      <c r="U18" s="601">
        <f>SUM(U16:U17)</f>
        <v>1706400</v>
      </c>
      <c r="V18" s="650">
        <v>1.63</v>
      </c>
      <c r="W18" s="601">
        <f>SUM(W16:W17)</f>
        <v>1706400</v>
      </c>
      <c r="X18" s="650">
        <v>1.63</v>
      </c>
      <c r="Y18" s="601">
        <f>SUM(Y16:Y17)</f>
        <v>1706400</v>
      </c>
      <c r="Z18" s="650">
        <v>1.63</v>
      </c>
      <c r="AA18" s="601">
        <f>SUM(AA16:AA17)</f>
        <v>1706400</v>
      </c>
      <c r="AB18" s="650">
        <v>1.63</v>
      </c>
      <c r="AC18" s="601">
        <f>SUM(AC16:AC17)</f>
        <v>1706400</v>
      </c>
      <c r="AD18" s="650">
        <v>1.63</v>
      </c>
      <c r="AE18" s="601">
        <f>SUM(AE16:AE17)</f>
        <v>1706400</v>
      </c>
      <c r="AF18" s="650">
        <v>1.63</v>
      </c>
      <c r="AG18" s="601">
        <f>SUM(AG16:AG17)</f>
        <v>1706400</v>
      </c>
      <c r="AH18" s="650">
        <v>1.63</v>
      </c>
      <c r="AI18" s="601">
        <f>SUM(AI16:AI17)</f>
        <v>1706400</v>
      </c>
      <c r="AJ18" s="650">
        <v>1.63</v>
      </c>
      <c r="AK18" s="601">
        <f>SUM(AK16:AK17)</f>
        <v>1706400</v>
      </c>
      <c r="AL18" s="650">
        <v>1.63</v>
      </c>
      <c r="AM18" s="601">
        <f>SUM(AM16:AM17)</f>
        <v>1706400</v>
      </c>
      <c r="AN18" s="650">
        <v>1.63</v>
      </c>
      <c r="AO18" s="601">
        <f>SUM(AO16:AO17)</f>
        <v>1706400</v>
      </c>
      <c r="AP18" s="650">
        <v>1.63</v>
      </c>
      <c r="AQ18" s="601">
        <f>SUM(AQ16:AQ17)</f>
        <v>1706400</v>
      </c>
      <c r="AR18" s="650">
        <v>1.63</v>
      </c>
    </row>
    <row r="19" spans="1:44">
      <c r="A19" s="447" t="s">
        <v>106</v>
      </c>
      <c r="B19" s="446"/>
      <c r="C19" s="602">
        <v>550495</v>
      </c>
      <c r="D19" s="726">
        <v>0.53</v>
      </c>
      <c r="E19" s="602">
        <v>550495</v>
      </c>
      <c r="F19" s="726">
        <v>0.53</v>
      </c>
      <c r="G19" s="602">
        <v>550495</v>
      </c>
      <c r="H19" s="726">
        <v>0.53</v>
      </c>
      <c r="I19" s="602">
        <v>550495</v>
      </c>
      <c r="J19" s="726">
        <v>0.53</v>
      </c>
      <c r="K19" s="602">
        <v>550495</v>
      </c>
      <c r="L19" s="726">
        <v>0.53</v>
      </c>
      <c r="M19" s="602">
        <v>550495</v>
      </c>
      <c r="N19" s="726">
        <v>0.53</v>
      </c>
      <c r="O19" s="602">
        <v>550495</v>
      </c>
      <c r="P19" s="726">
        <v>0.53</v>
      </c>
      <c r="Q19" s="602">
        <v>550495</v>
      </c>
      <c r="R19" s="726">
        <v>0.53</v>
      </c>
      <c r="S19" s="602">
        <v>550495</v>
      </c>
      <c r="T19" s="726">
        <v>0.53</v>
      </c>
      <c r="U19" s="602">
        <v>550495</v>
      </c>
      <c r="V19" s="726">
        <v>0.53</v>
      </c>
      <c r="W19" s="602">
        <v>550495</v>
      </c>
      <c r="X19" s="726">
        <v>0.53</v>
      </c>
      <c r="Y19" s="602">
        <v>550495</v>
      </c>
      <c r="Z19" s="726">
        <v>0.53</v>
      </c>
      <c r="AA19" s="602">
        <v>550495</v>
      </c>
      <c r="AB19" s="726">
        <v>0.53</v>
      </c>
      <c r="AC19" s="602">
        <v>550495</v>
      </c>
      <c r="AD19" s="726">
        <v>0.53</v>
      </c>
      <c r="AE19" s="602">
        <v>550495</v>
      </c>
      <c r="AF19" s="726">
        <v>0.53</v>
      </c>
      <c r="AG19" s="602">
        <v>550495</v>
      </c>
      <c r="AH19" s="726">
        <v>0.53</v>
      </c>
      <c r="AI19" s="602">
        <v>550495</v>
      </c>
      <c r="AJ19" s="726">
        <v>0.53</v>
      </c>
      <c r="AK19" s="602">
        <v>550495</v>
      </c>
      <c r="AL19" s="726">
        <v>0.53</v>
      </c>
      <c r="AM19" s="602">
        <v>550495</v>
      </c>
      <c r="AN19" s="726">
        <v>0.53</v>
      </c>
      <c r="AO19" s="602">
        <v>550495</v>
      </c>
      <c r="AP19" s="726">
        <v>0.52</v>
      </c>
      <c r="AQ19" s="602">
        <v>550495</v>
      </c>
      <c r="AR19" s="726">
        <v>0.52</v>
      </c>
    </row>
    <row r="20" spans="1:44">
      <c r="A20" s="447" t="s">
        <v>107</v>
      </c>
      <c r="B20" s="446"/>
      <c r="C20" s="603">
        <v>1188246.17</v>
      </c>
      <c r="D20" s="727">
        <v>1.1299999999999999</v>
      </c>
      <c r="E20" s="603">
        <v>1188246.17</v>
      </c>
      <c r="F20" s="727">
        <v>1.1299999999999999</v>
      </c>
      <c r="G20" s="603">
        <v>1188246.17</v>
      </c>
      <c r="H20" s="727">
        <v>1.1499999999999999</v>
      </c>
      <c r="I20" s="603">
        <v>1188246.17</v>
      </c>
      <c r="J20" s="727">
        <v>1.1399999999999999</v>
      </c>
      <c r="K20" s="603">
        <v>1188246.17</v>
      </c>
      <c r="L20" s="727">
        <v>1.1399999999999999</v>
      </c>
      <c r="M20" s="603">
        <v>1188246.17</v>
      </c>
      <c r="N20" s="727">
        <v>1.1399999999999999</v>
      </c>
      <c r="O20" s="603">
        <v>1188246.17</v>
      </c>
      <c r="P20" s="727">
        <v>1.1399999999999999</v>
      </c>
      <c r="Q20" s="603">
        <v>1188246.17</v>
      </c>
      <c r="R20" s="727">
        <v>1.1399999999999999</v>
      </c>
      <c r="S20" s="603">
        <v>1188246.17</v>
      </c>
      <c r="T20" s="727">
        <v>1.1399999999999999</v>
      </c>
      <c r="U20" s="603">
        <v>1188246.17</v>
      </c>
      <c r="V20" s="727">
        <v>1.1399999999999999</v>
      </c>
      <c r="W20" s="603">
        <v>1188246.17</v>
      </c>
      <c r="X20" s="727">
        <v>1.1399999999999999</v>
      </c>
      <c r="Y20" s="603">
        <v>1188246.17</v>
      </c>
      <c r="Z20" s="727">
        <v>1.1399999999999999</v>
      </c>
      <c r="AA20" s="603">
        <v>1188246.17</v>
      </c>
      <c r="AB20" s="727">
        <v>1.1399999999999999</v>
      </c>
      <c r="AC20" s="603">
        <v>1188246.17</v>
      </c>
      <c r="AD20" s="727">
        <v>1.1399999999999999</v>
      </c>
      <c r="AE20" s="603">
        <v>1188246.17</v>
      </c>
      <c r="AF20" s="727">
        <v>1.1399999999999999</v>
      </c>
      <c r="AG20" s="603">
        <v>1188246.17</v>
      </c>
      <c r="AH20" s="727">
        <v>1.1399999999999999</v>
      </c>
      <c r="AI20" s="603">
        <v>1188246.17</v>
      </c>
      <c r="AJ20" s="727">
        <v>1.1399999999999999</v>
      </c>
      <c r="AK20" s="603">
        <v>1188246.17</v>
      </c>
      <c r="AL20" s="727">
        <v>1.1299999999999999</v>
      </c>
      <c r="AM20" s="603">
        <v>1188246.17</v>
      </c>
      <c r="AN20" s="727">
        <v>1.1299999999999999</v>
      </c>
      <c r="AO20" s="603">
        <v>1188246.17</v>
      </c>
      <c r="AP20" s="727">
        <v>1.1399999999999999</v>
      </c>
      <c r="AQ20" s="603">
        <v>1188246.17</v>
      </c>
      <c r="AR20" s="727">
        <v>1.1399999999999999</v>
      </c>
    </row>
    <row r="21" spans="1:44" ht="16.5" thickBot="1">
      <c r="A21" s="447" t="s">
        <v>108</v>
      </c>
      <c r="B21" s="446"/>
      <c r="C21" s="604">
        <v>5267242.53</v>
      </c>
      <c r="D21" s="727">
        <v>5.04</v>
      </c>
      <c r="E21" s="604">
        <v>5267242.53</v>
      </c>
      <c r="F21" s="727">
        <v>5.04</v>
      </c>
      <c r="G21" s="604">
        <v>5267242.53</v>
      </c>
      <c r="H21" s="727">
        <v>5.07</v>
      </c>
      <c r="I21" s="604">
        <v>5267242.53</v>
      </c>
      <c r="J21" s="727">
        <v>5.07</v>
      </c>
      <c r="K21" s="604">
        <v>5267242.53</v>
      </c>
      <c r="L21" s="727">
        <v>5.07</v>
      </c>
      <c r="M21" s="604">
        <v>5267242.53</v>
      </c>
      <c r="N21" s="727">
        <v>5.07</v>
      </c>
      <c r="O21" s="604">
        <v>5267242.53</v>
      </c>
      <c r="P21" s="727">
        <v>5.07</v>
      </c>
      <c r="Q21" s="604">
        <v>5267242.53</v>
      </c>
      <c r="R21" s="727">
        <v>5.07</v>
      </c>
      <c r="S21" s="604">
        <v>5267242.53</v>
      </c>
      <c r="T21" s="727">
        <v>5.0599999999999996</v>
      </c>
      <c r="U21" s="604">
        <v>5267242.53</v>
      </c>
      <c r="V21" s="727">
        <v>5.07</v>
      </c>
      <c r="W21" s="604">
        <v>5267242.53</v>
      </c>
      <c r="X21" s="727">
        <v>5.0599999999999996</v>
      </c>
      <c r="Y21" s="604">
        <v>5267242.53</v>
      </c>
      <c r="Z21" s="727">
        <v>5.05</v>
      </c>
      <c r="AA21" s="604">
        <v>5267242.53</v>
      </c>
      <c r="AB21" s="727">
        <v>5.05</v>
      </c>
      <c r="AC21" s="604">
        <v>5267242.53</v>
      </c>
      <c r="AD21" s="727">
        <v>5.0599999999999996</v>
      </c>
      <c r="AE21" s="604">
        <v>5267242.53</v>
      </c>
      <c r="AF21" s="727">
        <v>5.05</v>
      </c>
      <c r="AG21" s="604">
        <v>5267242.53</v>
      </c>
      <c r="AH21" s="727">
        <v>5.04</v>
      </c>
      <c r="AI21" s="604">
        <v>5267242.53</v>
      </c>
      <c r="AJ21" s="727">
        <v>5.04</v>
      </c>
      <c r="AK21" s="604">
        <v>5267242.53</v>
      </c>
      <c r="AL21" s="727">
        <v>5.04</v>
      </c>
      <c r="AM21" s="604">
        <v>5267242.53</v>
      </c>
      <c r="AN21" s="727">
        <v>5.04</v>
      </c>
      <c r="AO21" s="604">
        <v>5267242.53</v>
      </c>
      <c r="AP21" s="727">
        <v>5.05</v>
      </c>
      <c r="AQ21" s="604">
        <v>5267242.53</v>
      </c>
      <c r="AR21" s="727">
        <v>5.04</v>
      </c>
    </row>
    <row r="22" spans="1:44" ht="16.5" thickBot="1">
      <c r="A22" s="1026" t="s">
        <v>111</v>
      </c>
      <c r="B22" s="1027"/>
      <c r="C22" s="601">
        <f t="shared" ref="C22:D22" si="42">SUM(C19:C21)</f>
        <v>7005983.7000000002</v>
      </c>
      <c r="D22" s="650">
        <f t="shared" si="42"/>
        <v>6.7</v>
      </c>
      <c r="E22" s="601">
        <f t="shared" ref="E22:F22" si="43">SUM(E19:E21)</f>
        <v>7005983.7000000002</v>
      </c>
      <c r="F22" s="650">
        <f t="shared" si="43"/>
        <v>6.7</v>
      </c>
      <c r="G22" s="601">
        <f t="shared" ref="G22:H22" si="44">SUM(G19:G21)</f>
        <v>7005983.7000000002</v>
      </c>
      <c r="H22" s="650">
        <f t="shared" si="44"/>
        <v>6.75</v>
      </c>
      <c r="I22" s="601">
        <f t="shared" ref="I22:J22" si="45">SUM(I19:I21)</f>
        <v>7005983.7000000002</v>
      </c>
      <c r="J22" s="650">
        <f t="shared" si="45"/>
        <v>6.74</v>
      </c>
      <c r="K22" s="601">
        <f t="shared" ref="K22:L22" si="46">SUM(K19:K21)</f>
        <v>7005983.7000000002</v>
      </c>
      <c r="L22" s="650">
        <f t="shared" si="46"/>
        <v>6.74</v>
      </c>
      <c r="M22" s="601">
        <f t="shared" ref="M22:N22" si="47">SUM(M19:M21)</f>
        <v>7005983.7000000002</v>
      </c>
      <c r="N22" s="650">
        <f t="shared" si="47"/>
        <v>6.74</v>
      </c>
      <c r="O22" s="601">
        <f t="shared" ref="O22:P22" si="48">SUM(O19:O21)</f>
        <v>7005983.7000000002</v>
      </c>
      <c r="P22" s="650">
        <f t="shared" si="48"/>
        <v>6.74</v>
      </c>
      <c r="Q22" s="601">
        <f t="shared" ref="Q22:R22" si="49">SUM(Q19:Q21)</f>
        <v>7005983.7000000002</v>
      </c>
      <c r="R22" s="650">
        <f t="shared" si="49"/>
        <v>6.74</v>
      </c>
      <c r="S22" s="601">
        <f t="shared" ref="S22:T22" si="50">SUM(S19:S21)</f>
        <v>7005983.7000000002</v>
      </c>
      <c r="T22" s="650">
        <f t="shared" si="50"/>
        <v>6.7299999999999995</v>
      </c>
      <c r="U22" s="601">
        <f t="shared" ref="U22:V22" si="51">SUM(U19:U21)</f>
        <v>7005983.7000000002</v>
      </c>
      <c r="V22" s="650">
        <f t="shared" si="51"/>
        <v>6.74</v>
      </c>
      <c r="W22" s="601">
        <f t="shared" ref="W22:X22" si="52">SUM(W19:W21)</f>
        <v>7005983.7000000002</v>
      </c>
      <c r="X22" s="650">
        <f t="shared" si="52"/>
        <v>6.7299999999999995</v>
      </c>
      <c r="Y22" s="601">
        <f t="shared" ref="Y22:Z22" si="53">SUM(Y19:Y21)</f>
        <v>7005983.7000000002</v>
      </c>
      <c r="Z22" s="650">
        <f t="shared" si="53"/>
        <v>6.72</v>
      </c>
      <c r="AA22" s="601">
        <f t="shared" ref="AA22:AB22" si="54">SUM(AA19:AA21)</f>
        <v>7005983.7000000002</v>
      </c>
      <c r="AB22" s="650">
        <f t="shared" si="54"/>
        <v>6.72</v>
      </c>
      <c r="AC22" s="601">
        <f t="shared" ref="AC22:AD22" si="55">SUM(AC19:AC21)</f>
        <v>7005983.7000000002</v>
      </c>
      <c r="AD22" s="650">
        <f t="shared" si="55"/>
        <v>6.7299999999999995</v>
      </c>
      <c r="AE22" s="601">
        <f t="shared" ref="AE22:AF22" si="56">SUM(AE19:AE21)</f>
        <v>7005983.7000000002</v>
      </c>
      <c r="AF22" s="650">
        <f t="shared" si="56"/>
        <v>6.72</v>
      </c>
      <c r="AG22" s="601">
        <f t="shared" ref="AG22:AH22" si="57">SUM(AG19:AG21)</f>
        <v>7005983.7000000002</v>
      </c>
      <c r="AH22" s="650">
        <f t="shared" si="57"/>
        <v>6.71</v>
      </c>
      <c r="AI22" s="601">
        <f t="shared" ref="AI22:AJ22" si="58">SUM(AI19:AI21)</f>
        <v>7005983.7000000002</v>
      </c>
      <c r="AJ22" s="650">
        <f t="shared" si="58"/>
        <v>6.71</v>
      </c>
      <c r="AK22" s="601">
        <f t="shared" ref="AK22:AL22" si="59">SUM(AK19:AK21)</f>
        <v>7005983.7000000002</v>
      </c>
      <c r="AL22" s="650">
        <f t="shared" si="59"/>
        <v>6.7</v>
      </c>
      <c r="AM22" s="601">
        <f t="shared" ref="AM22:AN22" si="60">SUM(AM19:AM21)</f>
        <v>7005983.7000000002</v>
      </c>
      <c r="AN22" s="650">
        <f t="shared" si="60"/>
        <v>6.7</v>
      </c>
      <c r="AO22" s="601">
        <f t="shared" ref="AO22:AP22" si="61">SUM(AO19:AO21)</f>
        <v>7005983.7000000002</v>
      </c>
      <c r="AP22" s="650">
        <f t="shared" si="61"/>
        <v>6.71</v>
      </c>
      <c r="AQ22" s="601">
        <f t="shared" ref="AQ22:AR22" si="62">SUM(AQ19:AQ21)</f>
        <v>7005983.7000000002</v>
      </c>
      <c r="AR22" s="650">
        <f t="shared" si="62"/>
        <v>6.7</v>
      </c>
    </row>
    <row r="23" spans="1:44" ht="15">
      <c r="A23" s="553" t="s">
        <v>45</v>
      </c>
      <c r="B23" s="478" t="s">
        <v>58</v>
      </c>
      <c r="C23" s="464">
        <v>238997.94</v>
      </c>
      <c r="D23" s="731">
        <v>0.23</v>
      </c>
      <c r="E23" s="464">
        <v>997.94</v>
      </c>
      <c r="F23" s="731">
        <v>0</v>
      </c>
      <c r="G23" s="464">
        <v>997.94</v>
      </c>
      <c r="H23" s="731">
        <v>0</v>
      </c>
      <c r="I23" s="464">
        <v>20622.11</v>
      </c>
      <c r="J23" s="731">
        <v>0.02</v>
      </c>
      <c r="K23" s="464">
        <v>28319</v>
      </c>
      <c r="L23" s="731">
        <v>0.03</v>
      </c>
      <c r="M23" s="464">
        <v>9054017.2400000002</v>
      </c>
      <c r="N23" s="731">
        <v>8.6999999999999993</v>
      </c>
      <c r="O23" s="464">
        <v>9054017.2400000002</v>
      </c>
      <c r="P23" s="731">
        <v>8.7100000000000009</v>
      </c>
      <c r="Q23" s="464">
        <v>9054017.2400000002</v>
      </c>
      <c r="R23" s="731">
        <v>8.6999999999999993</v>
      </c>
      <c r="S23" s="464">
        <v>4979017.24</v>
      </c>
      <c r="T23" s="731">
        <v>4.78</v>
      </c>
      <c r="U23" s="464">
        <v>9017.24</v>
      </c>
      <c r="V23" s="731">
        <v>0.01</v>
      </c>
      <c r="W23" s="464">
        <v>9017.24</v>
      </c>
      <c r="X23" s="731">
        <v>0.01</v>
      </c>
      <c r="Y23" s="464">
        <v>9017.24</v>
      </c>
      <c r="Z23" s="731">
        <v>0.01</v>
      </c>
      <c r="AA23" s="464">
        <v>9017.24</v>
      </c>
      <c r="AB23" s="731">
        <v>0.01</v>
      </c>
      <c r="AC23" s="464">
        <v>9017.24</v>
      </c>
      <c r="AD23" s="731">
        <v>0.01</v>
      </c>
      <c r="AE23" s="464">
        <v>9017.24</v>
      </c>
      <c r="AF23" s="731">
        <v>0.01</v>
      </c>
      <c r="AG23" s="585">
        <v>52524.160000000003</v>
      </c>
      <c r="AH23" s="731">
        <v>0.05</v>
      </c>
      <c r="AI23" s="585">
        <v>52524.160000000003</v>
      </c>
      <c r="AJ23" s="731">
        <v>0.05</v>
      </c>
      <c r="AK23" s="789">
        <v>52524.160000000003</v>
      </c>
      <c r="AL23" s="731">
        <v>0.05</v>
      </c>
      <c r="AM23" s="464">
        <v>2702.53</v>
      </c>
      <c r="AN23" s="731">
        <v>0</v>
      </c>
      <c r="AO23" s="464">
        <v>10273.969999999999</v>
      </c>
      <c r="AP23" s="731">
        <v>0.01</v>
      </c>
      <c r="AQ23" s="464">
        <v>10273.969999999999</v>
      </c>
      <c r="AR23" s="731">
        <v>0.01</v>
      </c>
    </row>
    <row r="24" spans="1:44" ht="15" customHeight="1">
      <c r="A24" s="553" t="s">
        <v>45</v>
      </c>
      <c r="B24" s="478" t="s">
        <v>58</v>
      </c>
      <c r="C24" s="464">
        <v>4459.8500000000004</v>
      </c>
      <c r="D24" s="731">
        <v>0</v>
      </c>
      <c r="E24" s="464">
        <v>199504.96</v>
      </c>
      <c r="F24" s="731">
        <v>0.19</v>
      </c>
      <c r="G24" s="464">
        <v>3263.44</v>
      </c>
      <c r="H24" s="731">
        <v>0</v>
      </c>
      <c r="I24" s="464">
        <v>3363.44</v>
      </c>
      <c r="J24" s="731">
        <v>0</v>
      </c>
      <c r="K24" s="771">
        <v>3363.44</v>
      </c>
      <c r="L24" s="731">
        <v>0</v>
      </c>
      <c r="M24" s="489">
        <v>3363.44</v>
      </c>
      <c r="N24" s="731">
        <v>0</v>
      </c>
      <c r="O24" s="464">
        <v>12283</v>
      </c>
      <c r="P24" s="731">
        <v>0</v>
      </c>
      <c r="Q24" s="464">
        <v>11036.92</v>
      </c>
      <c r="R24" s="731">
        <v>0</v>
      </c>
      <c r="S24" s="464">
        <v>1877.46</v>
      </c>
      <c r="T24" s="731">
        <v>0</v>
      </c>
      <c r="U24" s="464">
        <v>1877.46</v>
      </c>
      <c r="V24" s="731">
        <v>0</v>
      </c>
      <c r="W24" s="464">
        <v>3548.46</v>
      </c>
      <c r="X24" s="731">
        <v>0</v>
      </c>
      <c r="Y24" s="464">
        <v>3548.46</v>
      </c>
      <c r="Z24" s="731">
        <v>0</v>
      </c>
      <c r="AA24" s="464">
        <v>33548.46</v>
      </c>
      <c r="AB24" s="731">
        <v>0.03</v>
      </c>
      <c r="AC24" s="464">
        <v>20617.59</v>
      </c>
      <c r="AD24" s="731">
        <v>0.03</v>
      </c>
      <c r="AE24" s="464">
        <v>20617.59</v>
      </c>
      <c r="AF24" s="731">
        <v>0.02</v>
      </c>
      <c r="AG24" s="464">
        <v>20617.59</v>
      </c>
      <c r="AH24" s="731">
        <v>0.02</v>
      </c>
      <c r="AI24" s="464">
        <v>15282.59</v>
      </c>
      <c r="AJ24" s="731">
        <v>0.01</v>
      </c>
      <c r="AK24" s="791">
        <v>432.72</v>
      </c>
      <c r="AL24" s="731">
        <v>0</v>
      </c>
      <c r="AM24" s="791">
        <v>432.72</v>
      </c>
      <c r="AN24" s="731">
        <v>0</v>
      </c>
      <c r="AO24" s="791">
        <v>432.72</v>
      </c>
      <c r="AP24" s="731">
        <v>0</v>
      </c>
      <c r="AQ24" s="791">
        <v>432.72</v>
      </c>
      <c r="AR24" s="731">
        <v>0</v>
      </c>
    </row>
    <row r="25" spans="1:44" ht="15" customHeight="1">
      <c r="A25" s="554"/>
      <c r="B25" s="478"/>
      <c r="C25" s="464"/>
      <c r="D25" s="731"/>
      <c r="E25" s="464"/>
      <c r="F25" s="731"/>
      <c r="G25" s="464"/>
      <c r="H25" s="731"/>
      <c r="I25" s="464"/>
      <c r="J25" s="731"/>
      <c r="K25" s="464">
        <v>9604</v>
      </c>
      <c r="L25" s="731">
        <v>0.01</v>
      </c>
      <c r="M25" s="464">
        <v>9604</v>
      </c>
      <c r="N25" s="731">
        <v>0.01</v>
      </c>
      <c r="O25" s="774">
        <v>3363.44</v>
      </c>
      <c r="P25" s="731">
        <v>0.01</v>
      </c>
      <c r="Q25" s="774">
        <v>0</v>
      </c>
      <c r="R25" s="731">
        <v>0.01</v>
      </c>
      <c r="S25" s="774">
        <v>0</v>
      </c>
      <c r="T25" s="731">
        <v>0.01</v>
      </c>
      <c r="U25" s="774">
        <v>0</v>
      </c>
      <c r="V25" s="731">
        <v>0.01</v>
      </c>
      <c r="W25" s="774">
        <v>0</v>
      </c>
      <c r="X25" s="731">
        <v>0.01</v>
      </c>
      <c r="Y25" s="774">
        <v>0</v>
      </c>
      <c r="Z25" s="731"/>
      <c r="AA25" s="774">
        <v>0</v>
      </c>
      <c r="AB25" s="731"/>
      <c r="AC25" s="774">
        <v>0</v>
      </c>
      <c r="AD25" s="731"/>
      <c r="AE25" s="774">
        <v>0</v>
      </c>
      <c r="AF25" s="731"/>
      <c r="AG25" s="585">
        <v>101457.72</v>
      </c>
      <c r="AH25" s="731">
        <v>0.1</v>
      </c>
      <c r="AI25" s="585">
        <v>101457.72</v>
      </c>
      <c r="AJ25" s="731">
        <v>0.1</v>
      </c>
      <c r="AK25" s="791">
        <v>83282.59</v>
      </c>
      <c r="AL25" s="731">
        <v>0.08</v>
      </c>
      <c r="AM25" s="791"/>
      <c r="AN25" s="731">
        <v>0</v>
      </c>
      <c r="AO25" s="464">
        <v>10482.530000000001</v>
      </c>
      <c r="AP25" s="731">
        <v>0.01</v>
      </c>
      <c r="AQ25" s="464">
        <v>10482.530000000001</v>
      </c>
      <c r="AR25" s="731">
        <v>0.01</v>
      </c>
    </row>
    <row r="26" spans="1:44" ht="15" customHeight="1">
      <c r="A26" s="554" t="s">
        <v>47</v>
      </c>
      <c r="B26" s="478" t="s">
        <v>58</v>
      </c>
      <c r="C26" s="48">
        <v>3000000</v>
      </c>
      <c r="D26" s="731">
        <v>2.87</v>
      </c>
      <c r="E26" s="48">
        <v>3000000</v>
      </c>
      <c r="F26" s="731">
        <v>2.87</v>
      </c>
      <c r="G26" s="48">
        <v>3000000</v>
      </c>
      <c r="H26" s="731">
        <v>2.89</v>
      </c>
      <c r="I26" s="48">
        <v>3000000</v>
      </c>
      <c r="J26" s="731">
        <v>2.89</v>
      </c>
      <c r="K26" s="48">
        <v>3000000</v>
      </c>
      <c r="L26" s="731">
        <v>2.88</v>
      </c>
      <c r="M26" s="48">
        <v>3000000</v>
      </c>
      <c r="N26" s="731">
        <v>2.88</v>
      </c>
      <c r="O26" s="48">
        <v>3000000</v>
      </c>
      <c r="P26" s="731">
        <v>2.89</v>
      </c>
      <c r="Q26" s="48">
        <v>3000000</v>
      </c>
      <c r="R26" s="731">
        <v>2.88</v>
      </c>
      <c r="S26" s="48">
        <v>3000000</v>
      </c>
      <c r="T26" s="731">
        <v>2.88</v>
      </c>
      <c r="U26" s="48">
        <v>3000000</v>
      </c>
      <c r="V26" s="731">
        <v>2.89</v>
      </c>
      <c r="W26" s="48">
        <v>3000000</v>
      </c>
      <c r="X26" s="731">
        <v>2.88</v>
      </c>
      <c r="Y26" s="48">
        <v>3000000</v>
      </c>
      <c r="Z26" s="731">
        <v>2.88</v>
      </c>
      <c r="AA26" s="48">
        <v>3000000</v>
      </c>
      <c r="AB26" s="731">
        <v>2.88</v>
      </c>
      <c r="AC26" s="788">
        <v>3000000</v>
      </c>
      <c r="AD26" s="731">
        <v>2.88</v>
      </c>
      <c r="AE26" s="48">
        <v>3000000</v>
      </c>
      <c r="AF26" s="731">
        <v>2.88</v>
      </c>
      <c r="AG26" s="48">
        <v>3000000</v>
      </c>
      <c r="AH26" s="731">
        <v>2.87</v>
      </c>
      <c r="AI26" s="48">
        <v>3000000</v>
      </c>
      <c r="AJ26" s="731">
        <v>2.87</v>
      </c>
      <c r="AK26" s="788">
        <v>3000000</v>
      </c>
      <c r="AL26" s="731">
        <v>2.87</v>
      </c>
      <c r="AM26" s="48">
        <v>3000000</v>
      </c>
      <c r="AN26" s="731">
        <v>2.88</v>
      </c>
      <c r="AO26" s="48">
        <v>3000000</v>
      </c>
      <c r="AP26" s="731">
        <v>2.88</v>
      </c>
      <c r="AQ26" s="48">
        <v>3000000</v>
      </c>
      <c r="AR26" s="731">
        <v>2.87</v>
      </c>
    </row>
    <row r="27" spans="1:44" ht="15" customHeight="1">
      <c r="A27" s="553" t="s">
        <v>47</v>
      </c>
      <c r="B27" s="478" t="s">
        <v>58</v>
      </c>
      <c r="C27" s="464">
        <v>1278000</v>
      </c>
      <c r="D27" s="731">
        <v>1.22</v>
      </c>
      <c r="E27" s="464">
        <v>1278000</v>
      </c>
      <c r="F27" s="731">
        <v>1.22</v>
      </c>
      <c r="G27" s="765">
        <v>956000</v>
      </c>
      <c r="H27" s="731">
        <v>0.92</v>
      </c>
      <c r="I27" s="765">
        <v>956000</v>
      </c>
      <c r="J27" s="731">
        <v>0.92</v>
      </c>
      <c r="K27" s="765">
        <v>956000</v>
      </c>
      <c r="L27" s="731">
        <v>0.92</v>
      </c>
      <c r="M27" s="489">
        <v>956000</v>
      </c>
      <c r="N27" s="731">
        <v>0.92</v>
      </c>
      <c r="O27" s="489">
        <v>956000</v>
      </c>
      <c r="P27" s="731">
        <v>0.92</v>
      </c>
      <c r="Q27" s="489">
        <v>956000</v>
      </c>
      <c r="R27" s="731">
        <v>0.92</v>
      </c>
      <c r="S27" s="489">
        <v>956000</v>
      </c>
      <c r="T27" s="731">
        <v>0.92</v>
      </c>
      <c r="U27" s="765">
        <v>5926000</v>
      </c>
      <c r="V27" s="731">
        <v>5.7</v>
      </c>
      <c r="W27" s="765">
        <v>5926000</v>
      </c>
      <c r="X27" s="731">
        <v>5.7</v>
      </c>
      <c r="Y27" s="765">
        <v>5926000</v>
      </c>
      <c r="Z27" s="731">
        <v>5.6800000000000006</v>
      </c>
      <c r="AA27" s="585">
        <v>4896000</v>
      </c>
      <c r="AB27" s="731">
        <v>4.6900000000000004</v>
      </c>
      <c r="AC27" s="789">
        <f>4896000-4500000</f>
        <v>396000</v>
      </c>
      <c r="AD27" s="731">
        <v>0.38</v>
      </c>
      <c r="AE27" s="489">
        <f>4896000-4500000</f>
        <v>396000</v>
      </c>
      <c r="AF27" s="731">
        <v>0.38</v>
      </c>
      <c r="AG27" s="489">
        <f>4896000-4500000</f>
        <v>396000</v>
      </c>
      <c r="AH27" s="731">
        <v>0.38</v>
      </c>
      <c r="AI27" s="489">
        <f>4896000-4500000</f>
        <v>396000</v>
      </c>
      <c r="AJ27" s="731">
        <v>0.38</v>
      </c>
      <c r="AK27" s="789">
        <v>916000</v>
      </c>
      <c r="AL27" s="731">
        <v>0.88</v>
      </c>
      <c r="AM27" s="585">
        <v>910000</v>
      </c>
      <c r="AN27" s="731">
        <v>0.87</v>
      </c>
      <c r="AO27" s="585">
        <v>910000</v>
      </c>
      <c r="AP27" s="731">
        <v>0.87</v>
      </c>
      <c r="AQ27" s="585">
        <v>910000</v>
      </c>
      <c r="AR27" s="731">
        <v>0.87</v>
      </c>
    </row>
    <row r="28" spans="1:44" ht="15" customHeight="1">
      <c r="A28" s="553" t="s">
        <v>47</v>
      </c>
      <c r="B28" s="478" t="s">
        <v>100</v>
      </c>
      <c r="C28" s="48">
        <v>2000000</v>
      </c>
      <c r="D28" s="732">
        <v>1.91</v>
      </c>
      <c r="E28" s="48">
        <v>2000000</v>
      </c>
      <c r="F28" s="732">
        <v>1.91</v>
      </c>
      <c r="G28" s="48">
        <v>2000000</v>
      </c>
      <c r="H28" s="732">
        <v>1.93</v>
      </c>
      <c r="I28" s="48">
        <v>2000000</v>
      </c>
      <c r="J28" s="732">
        <v>1.92</v>
      </c>
      <c r="K28" s="48">
        <v>2000000</v>
      </c>
      <c r="L28" s="732">
        <v>1.92</v>
      </c>
      <c r="M28" s="48">
        <v>2000000</v>
      </c>
      <c r="N28" s="732">
        <v>1.92</v>
      </c>
      <c r="O28" s="48">
        <v>2000000</v>
      </c>
      <c r="P28" s="732">
        <v>1.93</v>
      </c>
      <c r="Q28" s="48">
        <v>2000000</v>
      </c>
      <c r="R28" s="732">
        <v>1.92</v>
      </c>
      <c r="S28" s="48">
        <v>2000000</v>
      </c>
      <c r="T28" s="732">
        <v>1.92</v>
      </c>
      <c r="U28" s="48">
        <v>2000000</v>
      </c>
      <c r="V28" s="732">
        <v>1.92</v>
      </c>
      <c r="W28" s="48">
        <v>2000000</v>
      </c>
      <c r="X28" s="732">
        <v>1.92</v>
      </c>
      <c r="Y28" s="48">
        <v>2000000</v>
      </c>
      <c r="Z28" s="732">
        <v>1.92</v>
      </c>
      <c r="AA28" s="48">
        <v>2000000</v>
      </c>
      <c r="AB28" s="732">
        <v>1.92</v>
      </c>
      <c r="AC28" s="788">
        <v>2000000</v>
      </c>
      <c r="AD28" s="732">
        <v>1.92</v>
      </c>
      <c r="AE28" s="48">
        <v>2000000</v>
      </c>
      <c r="AF28" s="732">
        <v>1.92</v>
      </c>
      <c r="AG28" s="48">
        <v>2000000</v>
      </c>
      <c r="AH28" s="732">
        <v>1.92</v>
      </c>
      <c r="AI28" s="48">
        <v>2000000</v>
      </c>
      <c r="AJ28" s="732">
        <v>1.92</v>
      </c>
      <c r="AK28" s="788">
        <v>2000000</v>
      </c>
      <c r="AL28" s="732">
        <v>1.92</v>
      </c>
      <c r="AM28" s="48">
        <v>2000000</v>
      </c>
      <c r="AN28" s="732">
        <v>1.92</v>
      </c>
      <c r="AO28" s="48">
        <v>2000000</v>
      </c>
      <c r="AP28" s="732">
        <v>1.92</v>
      </c>
      <c r="AQ28" s="48">
        <v>2000000</v>
      </c>
      <c r="AR28" s="732">
        <v>1.91</v>
      </c>
    </row>
    <row r="29" spans="1:44" ht="15" customHeight="1">
      <c r="A29" s="554" t="s">
        <v>47</v>
      </c>
      <c r="B29" s="478" t="s">
        <v>103</v>
      </c>
      <c r="C29" s="48">
        <v>9000000</v>
      </c>
      <c r="D29" s="731">
        <v>8.6</v>
      </c>
      <c r="E29" s="48">
        <v>9000000</v>
      </c>
      <c r="F29" s="731">
        <v>8.6</v>
      </c>
      <c r="G29" s="48">
        <v>9000000</v>
      </c>
      <c r="H29" s="731">
        <v>8.67</v>
      </c>
      <c r="I29" s="48">
        <v>9000000</v>
      </c>
      <c r="J29" s="731">
        <v>8.65</v>
      </c>
      <c r="K29" s="48">
        <v>9000000</v>
      </c>
      <c r="L29" s="731">
        <v>8.6300000000000008</v>
      </c>
      <c r="M29" s="581">
        <v>0</v>
      </c>
      <c r="N29" s="731">
        <v>0</v>
      </c>
      <c r="O29" s="581">
        <v>0</v>
      </c>
      <c r="P29" s="731">
        <v>0</v>
      </c>
      <c r="Q29" s="581">
        <v>0</v>
      </c>
      <c r="R29" s="731">
        <v>0</v>
      </c>
      <c r="S29" s="712">
        <v>4000000</v>
      </c>
      <c r="T29" s="731">
        <v>3.8499999999999996</v>
      </c>
      <c r="U29" s="479">
        <v>4000000</v>
      </c>
      <c r="V29" s="731">
        <v>3.85</v>
      </c>
      <c r="W29" s="479">
        <v>4000000</v>
      </c>
      <c r="X29" s="731">
        <v>3.85</v>
      </c>
      <c r="Y29" s="479">
        <v>4000000</v>
      </c>
      <c r="Z29" s="731">
        <v>3.84</v>
      </c>
      <c r="AA29" s="479">
        <v>4000000</v>
      </c>
      <c r="AB29" s="731">
        <v>3.84</v>
      </c>
      <c r="AC29" s="510">
        <v>4000000</v>
      </c>
      <c r="AD29" s="731">
        <v>3.85</v>
      </c>
      <c r="AE29" s="479">
        <v>4000000</v>
      </c>
      <c r="AF29" s="731">
        <v>3.84</v>
      </c>
      <c r="AG29" s="479">
        <v>4000000</v>
      </c>
      <c r="AH29" s="731">
        <v>3.83</v>
      </c>
      <c r="AI29" s="479">
        <v>4000000</v>
      </c>
      <c r="AJ29" s="731">
        <v>3.83</v>
      </c>
      <c r="AK29" s="510">
        <v>4000000</v>
      </c>
      <c r="AL29" s="731">
        <v>3.83</v>
      </c>
      <c r="AM29" s="479">
        <v>4000000</v>
      </c>
      <c r="AN29" s="731">
        <v>3.84</v>
      </c>
      <c r="AO29" s="479">
        <v>4000000</v>
      </c>
      <c r="AP29" s="731">
        <v>3.83</v>
      </c>
      <c r="AQ29" s="479">
        <v>4000000</v>
      </c>
      <c r="AR29" s="731">
        <v>3.83</v>
      </c>
    </row>
    <row r="30" spans="1:44" ht="15">
      <c r="A30" s="554" t="s">
        <v>47</v>
      </c>
      <c r="B30" s="478" t="s">
        <v>103</v>
      </c>
      <c r="C30" s="48"/>
      <c r="D30" s="731"/>
      <c r="E30" s="48"/>
      <c r="F30" s="731"/>
      <c r="G30" s="48"/>
      <c r="H30" s="731"/>
      <c r="I30" s="48"/>
      <c r="J30" s="731"/>
      <c r="K30" s="48"/>
      <c r="L30" s="731"/>
      <c r="M30" s="581"/>
      <c r="N30" s="731"/>
      <c r="O30" s="581"/>
      <c r="P30" s="731"/>
      <c r="Q30" s="581"/>
      <c r="R30" s="731"/>
      <c r="S30" s="712"/>
      <c r="T30" s="731"/>
      <c r="U30" s="479"/>
      <c r="V30" s="731"/>
      <c r="W30" s="479"/>
      <c r="X30" s="731"/>
      <c r="Y30" s="479"/>
      <c r="Z30" s="731"/>
      <c r="AA30" s="479"/>
      <c r="AB30" s="731"/>
      <c r="AC30" s="592">
        <v>3000000</v>
      </c>
      <c r="AD30" s="731">
        <v>2.88</v>
      </c>
      <c r="AE30" s="479">
        <v>3000000</v>
      </c>
      <c r="AF30" s="731">
        <v>2.88</v>
      </c>
      <c r="AG30" s="479">
        <v>3000000</v>
      </c>
      <c r="AH30" s="731">
        <v>2.87</v>
      </c>
      <c r="AI30" s="479">
        <v>3000000</v>
      </c>
      <c r="AJ30" s="731">
        <v>2.88</v>
      </c>
      <c r="AK30" s="510">
        <v>3000000</v>
      </c>
      <c r="AL30" s="731">
        <v>2.87</v>
      </c>
      <c r="AM30" s="479">
        <v>3000000</v>
      </c>
      <c r="AN30" s="731">
        <v>2.88</v>
      </c>
      <c r="AO30" s="479">
        <v>3000000</v>
      </c>
      <c r="AP30" s="731">
        <v>2.88</v>
      </c>
      <c r="AQ30" s="479">
        <v>3000000</v>
      </c>
      <c r="AR30" s="731">
        <v>2.87</v>
      </c>
    </row>
    <row r="31" spans="1:44" ht="15" customHeight="1">
      <c r="A31" s="554" t="s">
        <v>47</v>
      </c>
      <c r="B31" s="478" t="s">
        <v>95</v>
      </c>
      <c r="C31" s="48">
        <v>5000000</v>
      </c>
      <c r="D31" s="731">
        <v>4.78</v>
      </c>
      <c r="E31" s="48">
        <v>5000000</v>
      </c>
      <c r="F31" s="731">
        <v>4.78</v>
      </c>
      <c r="G31" s="48">
        <v>5000000</v>
      </c>
      <c r="H31" s="731">
        <v>4.8099999999999996</v>
      </c>
      <c r="I31" s="48">
        <v>5000000</v>
      </c>
      <c r="J31" s="731">
        <v>4.8099999999999996</v>
      </c>
      <c r="K31" s="48">
        <v>5000000</v>
      </c>
      <c r="L31" s="731">
        <v>4.79</v>
      </c>
      <c r="M31" s="48">
        <v>5000000</v>
      </c>
      <c r="N31" s="731">
        <v>4.8099999999999996</v>
      </c>
      <c r="O31" s="48">
        <v>5000000</v>
      </c>
      <c r="P31" s="731">
        <v>4.8099999999999996</v>
      </c>
      <c r="Q31" s="48">
        <v>5000000</v>
      </c>
      <c r="R31" s="731">
        <v>4.8</v>
      </c>
      <c r="S31" s="48">
        <v>5000000</v>
      </c>
      <c r="T31" s="731">
        <v>4.8099999999999996</v>
      </c>
      <c r="U31" s="48">
        <v>5000000</v>
      </c>
      <c r="V31" s="731">
        <v>4.8099999999999996</v>
      </c>
      <c r="W31" s="48">
        <v>5000000</v>
      </c>
      <c r="X31" s="731">
        <v>4.8099999999999996</v>
      </c>
      <c r="Y31" s="48">
        <v>5000000</v>
      </c>
      <c r="Z31" s="731">
        <v>4.8</v>
      </c>
      <c r="AA31" s="48">
        <v>5000000</v>
      </c>
      <c r="AB31" s="731">
        <v>4.8</v>
      </c>
      <c r="AC31" s="787">
        <v>5000000</v>
      </c>
      <c r="AD31" s="731">
        <v>4.8099999999999996</v>
      </c>
      <c r="AE31" s="781">
        <v>5000000</v>
      </c>
      <c r="AF31" s="731">
        <v>4.8</v>
      </c>
      <c r="AG31" s="781">
        <v>5000000</v>
      </c>
      <c r="AH31" s="731">
        <v>4.79</v>
      </c>
      <c r="AI31" s="781">
        <v>5000000</v>
      </c>
      <c r="AJ31" s="731">
        <v>4.79</v>
      </c>
      <c r="AK31" s="787">
        <v>5000000</v>
      </c>
      <c r="AL31" s="731">
        <v>4.79</v>
      </c>
      <c r="AM31" s="781">
        <v>5000000</v>
      </c>
      <c r="AN31" s="731">
        <v>4.8</v>
      </c>
      <c r="AO31" s="781">
        <v>5000000</v>
      </c>
      <c r="AP31" s="731">
        <v>4.79</v>
      </c>
      <c r="AQ31" s="781">
        <v>5000000</v>
      </c>
      <c r="AR31" s="731">
        <v>4.78</v>
      </c>
    </row>
    <row r="32" spans="1:44" ht="15">
      <c r="A32" s="554" t="s">
        <v>47</v>
      </c>
      <c r="B32" s="478" t="s">
        <v>95</v>
      </c>
      <c r="C32" s="48"/>
      <c r="D32" s="731"/>
      <c r="E32" s="48"/>
      <c r="F32" s="731"/>
      <c r="G32" s="48"/>
      <c r="H32" s="731"/>
      <c r="I32" s="48"/>
      <c r="J32" s="731"/>
      <c r="K32" s="48"/>
      <c r="L32" s="731"/>
      <c r="M32" s="48"/>
      <c r="N32" s="731"/>
      <c r="O32" s="48"/>
      <c r="P32" s="731"/>
      <c r="Q32" s="48"/>
      <c r="R32" s="731"/>
      <c r="S32" s="48"/>
      <c r="T32" s="731"/>
      <c r="U32" s="48"/>
      <c r="V32" s="731"/>
      <c r="W32" s="48"/>
      <c r="X32" s="731"/>
      <c r="Y32" s="48"/>
      <c r="Z32" s="731"/>
      <c r="AA32" s="48"/>
      <c r="AB32" s="731"/>
      <c r="AC32" s="782">
        <v>1500000</v>
      </c>
      <c r="AD32" s="731">
        <v>1.44</v>
      </c>
      <c r="AE32" s="781">
        <v>1500000</v>
      </c>
      <c r="AF32" s="731">
        <v>1.44</v>
      </c>
      <c r="AG32" s="781">
        <v>1500000</v>
      </c>
      <c r="AH32" s="731">
        <v>1.44</v>
      </c>
      <c r="AI32" s="781">
        <v>1500000</v>
      </c>
      <c r="AJ32" s="731">
        <v>1.44</v>
      </c>
      <c r="AK32" s="787">
        <v>1500000</v>
      </c>
      <c r="AL32" s="731">
        <v>1.44</v>
      </c>
      <c r="AM32" s="781">
        <v>1500000</v>
      </c>
      <c r="AN32" s="731">
        <v>1.44</v>
      </c>
      <c r="AO32" s="781">
        <v>1500000</v>
      </c>
      <c r="AP32" s="731">
        <v>1.44</v>
      </c>
      <c r="AQ32" s="781">
        <v>1500000</v>
      </c>
      <c r="AR32" s="731">
        <v>1.43</v>
      </c>
    </row>
    <row r="33" spans="1:44" ht="15">
      <c r="A33" s="554" t="s">
        <v>47</v>
      </c>
      <c r="B33" s="478" t="s">
        <v>125</v>
      </c>
      <c r="C33" s="48">
        <v>4500000</v>
      </c>
      <c r="D33" s="731">
        <v>4.3</v>
      </c>
      <c r="E33" s="48">
        <v>4500000</v>
      </c>
      <c r="F33" s="731">
        <v>4.3</v>
      </c>
      <c r="G33" s="48">
        <v>4500000</v>
      </c>
      <c r="H33" s="731">
        <v>4.33</v>
      </c>
      <c r="I33" s="48">
        <v>4500000</v>
      </c>
      <c r="J33" s="731">
        <v>4.33</v>
      </c>
      <c r="K33" s="48">
        <v>4500000</v>
      </c>
      <c r="L33" s="731">
        <v>4.32</v>
      </c>
      <c r="M33" s="48">
        <v>4500000</v>
      </c>
      <c r="N33" s="731">
        <v>4.33</v>
      </c>
      <c r="O33" s="48">
        <v>4500000</v>
      </c>
      <c r="P33" s="731">
        <v>4.33</v>
      </c>
      <c r="Q33" s="48">
        <v>4500000</v>
      </c>
      <c r="R33" s="731">
        <v>4.32</v>
      </c>
      <c r="S33" s="48">
        <v>4500000</v>
      </c>
      <c r="T33" s="731">
        <v>4.32</v>
      </c>
      <c r="U33" s="48">
        <v>4500000</v>
      </c>
      <c r="V33" s="731">
        <v>4.33</v>
      </c>
      <c r="W33" s="48">
        <v>4500000</v>
      </c>
      <c r="X33" s="731">
        <v>4.33</v>
      </c>
      <c r="Y33" s="48">
        <v>4500000</v>
      </c>
      <c r="Z33" s="731">
        <v>4.32</v>
      </c>
      <c r="AA33" s="48">
        <v>4500000</v>
      </c>
      <c r="AB33" s="731">
        <v>4.3100000000000005</v>
      </c>
      <c r="AC33" s="787">
        <v>4500000</v>
      </c>
      <c r="AD33" s="731">
        <v>4.33</v>
      </c>
      <c r="AE33" s="781">
        <v>4500000</v>
      </c>
      <c r="AF33" s="731">
        <v>4.32</v>
      </c>
      <c r="AG33" s="781">
        <v>4500000</v>
      </c>
      <c r="AH33" s="731">
        <v>4.3099999999999996</v>
      </c>
      <c r="AI33" s="781">
        <v>4500000</v>
      </c>
      <c r="AJ33" s="731">
        <v>4.3099999999999996</v>
      </c>
      <c r="AK33" s="787">
        <v>4500000</v>
      </c>
      <c r="AL33" s="731">
        <v>4.3099999999999996</v>
      </c>
      <c r="AM33" s="781">
        <v>4500000</v>
      </c>
      <c r="AN33" s="731">
        <v>4.32</v>
      </c>
      <c r="AO33" s="781">
        <v>4500000</v>
      </c>
      <c r="AP33" s="731">
        <v>4.3099999999999996</v>
      </c>
      <c r="AQ33" s="781">
        <v>4500000</v>
      </c>
      <c r="AR33" s="731">
        <v>4.3</v>
      </c>
    </row>
    <row r="34" spans="1:44" ht="15">
      <c r="A34" s="554" t="s">
        <v>47</v>
      </c>
      <c r="B34" s="478" t="s">
        <v>125</v>
      </c>
      <c r="C34" s="48">
        <v>1000000</v>
      </c>
      <c r="D34" s="731">
        <v>0.96</v>
      </c>
      <c r="E34" s="48">
        <v>1000000</v>
      </c>
      <c r="F34" s="731">
        <v>0.95</v>
      </c>
      <c r="G34" s="48">
        <v>1000000</v>
      </c>
      <c r="H34" s="731">
        <v>0.96</v>
      </c>
      <c r="I34" s="48">
        <v>1000000</v>
      </c>
      <c r="J34" s="731">
        <v>0.96</v>
      </c>
      <c r="K34" s="48">
        <v>1000000</v>
      </c>
      <c r="L34" s="731">
        <v>0.96</v>
      </c>
      <c r="M34" s="48">
        <v>1000000</v>
      </c>
      <c r="N34" s="731">
        <v>0.96</v>
      </c>
      <c r="O34" s="48">
        <v>1000000</v>
      </c>
      <c r="P34" s="731">
        <v>0.96</v>
      </c>
      <c r="Q34" s="48">
        <v>1000000</v>
      </c>
      <c r="R34" s="731">
        <v>0.96</v>
      </c>
      <c r="S34" s="48">
        <v>1000000</v>
      </c>
      <c r="T34" s="731">
        <v>0.96</v>
      </c>
      <c r="U34" s="48">
        <v>1000000</v>
      </c>
      <c r="V34" s="731">
        <v>0.96</v>
      </c>
      <c r="W34" s="48">
        <v>1000000</v>
      </c>
      <c r="X34" s="731">
        <v>0.96</v>
      </c>
      <c r="Y34" s="48">
        <v>1000000</v>
      </c>
      <c r="Z34" s="731">
        <v>0.96</v>
      </c>
      <c r="AA34" s="48">
        <v>1000000</v>
      </c>
      <c r="AB34" s="731">
        <v>0.96</v>
      </c>
      <c r="AC34" s="788">
        <v>1000000</v>
      </c>
      <c r="AD34" s="731">
        <v>0.96</v>
      </c>
      <c r="AE34" s="48">
        <v>1000000</v>
      </c>
      <c r="AF34" s="731">
        <v>0.96</v>
      </c>
      <c r="AG34" s="48">
        <v>1000000</v>
      </c>
      <c r="AH34" s="731">
        <v>0.96</v>
      </c>
      <c r="AI34" s="48">
        <v>1000000</v>
      </c>
      <c r="AJ34" s="731">
        <v>0.96</v>
      </c>
      <c r="AK34" s="788">
        <v>1000000</v>
      </c>
      <c r="AL34" s="731">
        <v>0.96</v>
      </c>
      <c r="AM34" s="48">
        <v>1000000</v>
      </c>
      <c r="AN34" s="731">
        <v>0.96</v>
      </c>
      <c r="AO34" s="48">
        <v>1000000</v>
      </c>
      <c r="AP34" s="731">
        <v>0.96</v>
      </c>
      <c r="AQ34" s="48">
        <v>1000000</v>
      </c>
      <c r="AR34" s="731">
        <v>0.96</v>
      </c>
    </row>
    <row r="35" spans="1:44" thickBot="1">
      <c r="A35" s="554" t="s">
        <v>47</v>
      </c>
      <c r="B35" s="478" t="s">
        <v>125</v>
      </c>
      <c r="C35" s="302"/>
      <c r="D35" s="776"/>
      <c r="E35" s="302"/>
      <c r="F35" s="776"/>
      <c r="G35" s="302"/>
      <c r="H35" s="776"/>
      <c r="I35" s="302"/>
      <c r="J35" s="776"/>
      <c r="K35" s="302"/>
      <c r="L35" s="776"/>
      <c r="M35" s="302"/>
      <c r="N35" s="776"/>
      <c r="O35" s="302"/>
      <c r="P35" s="776"/>
      <c r="Q35" s="302"/>
      <c r="R35" s="776"/>
      <c r="S35" s="302"/>
      <c r="T35" s="776"/>
      <c r="U35" s="302"/>
      <c r="V35" s="776"/>
      <c r="W35" s="302"/>
      <c r="X35" s="776"/>
      <c r="Y35" s="302"/>
      <c r="Z35" s="776"/>
      <c r="AA35" s="581">
        <v>1000000</v>
      </c>
      <c r="AB35" s="776">
        <v>0.96</v>
      </c>
      <c r="AC35" s="788">
        <v>1000000</v>
      </c>
      <c r="AD35" s="776">
        <v>0.96</v>
      </c>
      <c r="AE35" s="48">
        <v>1000000</v>
      </c>
      <c r="AF35" s="776">
        <v>0.96</v>
      </c>
      <c r="AG35" s="48">
        <v>1000000</v>
      </c>
      <c r="AH35" s="776">
        <v>0.96</v>
      </c>
      <c r="AI35" s="48">
        <v>1000000</v>
      </c>
      <c r="AJ35" s="776">
        <v>0.96</v>
      </c>
      <c r="AK35" s="788">
        <v>1000000</v>
      </c>
      <c r="AL35" s="776">
        <v>0.96</v>
      </c>
      <c r="AM35" s="48">
        <v>1000000</v>
      </c>
      <c r="AN35" s="776">
        <v>0.96</v>
      </c>
      <c r="AO35" s="48">
        <v>1000000</v>
      </c>
      <c r="AP35" s="776">
        <v>0.96</v>
      </c>
      <c r="AQ35" s="48">
        <v>1000000</v>
      </c>
      <c r="AR35" s="776">
        <v>0.96</v>
      </c>
    </row>
    <row r="36" spans="1:44" ht="16.5" thickBot="1">
      <c r="A36" s="1028" t="s">
        <v>111</v>
      </c>
      <c r="B36" s="1052"/>
      <c r="C36" s="601">
        <f t="shared" ref="C36:D36" si="63">SUM(C23:C34)</f>
        <v>26021457.789999999</v>
      </c>
      <c r="D36" s="650">
        <f t="shared" si="63"/>
        <v>24.87</v>
      </c>
      <c r="E36" s="601">
        <f t="shared" ref="E36:F36" si="64">SUM(E23:E34)</f>
        <v>25978502.899999999</v>
      </c>
      <c r="F36" s="650">
        <f t="shared" si="64"/>
        <v>24.82</v>
      </c>
      <c r="G36" s="601">
        <f t="shared" ref="G36:H36" si="65">SUM(G23:G34)</f>
        <v>25460261.379999999</v>
      </c>
      <c r="H36" s="650">
        <f t="shared" si="65"/>
        <v>24.509999999999998</v>
      </c>
      <c r="I36" s="601">
        <f t="shared" ref="I36:J36" si="66">SUM(I23:I34)</f>
        <v>25479985.550000001</v>
      </c>
      <c r="J36" s="650">
        <f t="shared" si="66"/>
        <v>24.5</v>
      </c>
      <c r="K36" s="601">
        <f t="shared" ref="K36:L36" si="67">SUM(K23:K34)</f>
        <v>25497286.439999998</v>
      </c>
      <c r="L36" s="650">
        <f t="shared" si="67"/>
        <v>24.46</v>
      </c>
      <c r="M36" s="601">
        <f t="shared" ref="M36:N36" si="68">SUM(M23:M34)</f>
        <v>25522984.68</v>
      </c>
      <c r="N36" s="650">
        <f t="shared" si="68"/>
        <v>24.53</v>
      </c>
      <c r="O36" s="601">
        <f t="shared" ref="O36:P36" si="69">SUM(O23:O34)</f>
        <v>25525663.68</v>
      </c>
      <c r="P36" s="650">
        <f t="shared" si="69"/>
        <v>24.560000000000002</v>
      </c>
      <c r="Q36" s="601">
        <f t="shared" ref="Q36:R36" si="70">SUM(Q23:Q34)</f>
        <v>25521054.16</v>
      </c>
      <c r="R36" s="601">
        <f t="shared" si="70"/>
        <v>24.51</v>
      </c>
      <c r="S36" s="601">
        <f t="shared" ref="S36:T36" si="71">SUM(S23:S34)</f>
        <v>25436894.699999999</v>
      </c>
      <c r="T36" s="601">
        <f t="shared" si="71"/>
        <v>24.45</v>
      </c>
      <c r="U36" s="601">
        <f t="shared" ref="U36:V36" si="72">SUM(U23:U34)</f>
        <v>25436894.699999999</v>
      </c>
      <c r="V36" s="601">
        <f t="shared" si="72"/>
        <v>24.479999999999997</v>
      </c>
      <c r="W36" s="601">
        <f t="shared" ref="W36:X36" si="73">SUM(W23:W34)</f>
        <v>25438565.699999999</v>
      </c>
      <c r="X36" s="601">
        <f t="shared" si="73"/>
        <v>24.47</v>
      </c>
      <c r="Y36" s="601">
        <f t="shared" ref="Y36:Z36" si="74">SUM(Y23:Y34)</f>
        <v>25438565.699999999</v>
      </c>
      <c r="Z36" s="601">
        <f t="shared" si="74"/>
        <v>24.41</v>
      </c>
      <c r="AA36" s="601">
        <f t="shared" ref="AA36:AF36" si="75">SUM(AA23:AA35)</f>
        <v>25438565.699999999</v>
      </c>
      <c r="AB36" s="601">
        <f t="shared" si="75"/>
        <v>24.400000000000006</v>
      </c>
      <c r="AC36" s="601">
        <f t="shared" si="75"/>
        <v>25425634.829999998</v>
      </c>
      <c r="AD36" s="601">
        <f t="shared" si="75"/>
        <v>24.450000000000003</v>
      </c>
      <c r="AE36" s="601">
        <f t="shared" si="75"/>
        <v>25425634.829999998</v>
      </c>
      <c r="AF36" s="601">
        <f t="shared" si="75"/>
        <v>24.410000000000004</v>
      </c>
      <c r="AG36" s="601">
        <f t="shared" ref="AG36" si="76">SUM(AG23:AG35)</f>
        <v>25570599.469999999</v>
      </c>
      <c r="AH36" s="601">
        <f t="shared" ref="AH36" si="77">SUM(AH23:AH35)</f>
        <v>24.5</v>
      </c>
      <c r="AI36" s="601">
        <f t="shared" ref="AI36:AK36" si="78">SUM(AI23:AI35)</f>
        <v>25565264.469999999</v>
      </c>
      <c r="AJ36" s="601">
        <f t="shared" ref="AJ36:AM36" si="79">SUM(AJ23:AJ35)</f>
        <v>24.5</v>
      </c>
      <c r="AK36" s="601">
        <f t="shared" si="78"/>
        <v>26052239.469999999</v>
      </c>
      <c r="AL36" s="601">
        <f t="shared" si="79"/>
        <v>24.96</v>
      </c>
      <c r="AM36" s="601">
        <f t="shared" si="79"/>
        <v>25913135.25</v>
      </c>
      <c r="AN36" s="601">
        <f t="shared" ref="AN36:AO36" si="80">SUM(AN23:AN35)</f>
        <v>24.870000000000005</v>
      </c>
      <c r="AO36" s="601">
        <f t="shared" si="80"/>
        <v>25931189.219999999</v>
      </c>
      <c r="AP36" s="601">
        <f t="shared" ref="AP36:AQ36" si="81">SUM(AP23:AP35)</f>
        <v>24.86</v>
      </c>
      <c r="AQ36" s="601">
        <f t="shared" si="81"/>
        <v>25931189.219999999</v>
      </c>
      <c r="AR36" s="601">
        <f t="shared" ref="AR36" si="82">SUM(AR23:AR35)</f>
        <v>24.800000000000004</v>
      </c>
    </row>
    <row r="37" spans="1:44" ht="16.5" thickBot="1">
      <c r="A37" s="1029" t="s">
        <v>48</v>
      </c>
      <c r="B37" s="1053"/>
      <c r="C37" s="609"/>
      <c r="D37" s="661"/>
      <c r="E37" s="609"/>
      <c r="F37" s="661"/>
      <c r="G37" s="609"/>
      <c r="H37" s="661"/>
      <c r="I37" s="609"/>
      <c r="J37" s="661"/>
      <c r="K37" s="609"/>
      <c r="L37" s="661"/>
      <c r="M37" s="609"/>
      <c r="N37" s="661"/>
      <c r="O37" s="609"/>
      <c r="P37" s="661"/>
      <c r="Q37" s="609"/>
      <c r="R37" s="661"/>
      <c r="S37" s="609"/>
      <c r="T37" s="661"/>
      <c r="U37" s="609"/>
      <c r="V37" s="661"/>
      <c r="W37" s="609"/>
      <c r="X37" s="661"/>
      <c r="Y37" s="609"/>
      <c r="Z37" s="661"/>
      <c r="AA37" s="609"/>
      <c r="AB37" s="661"/>
      <c r="AC37" s="609"/>
      <c r="AD37" s="661"/>
      <c r="AE37" s="609"/>
      <c r="AF37" s="661"/>
      <c r="AG37" s="609"/>
      <c r="AH37" s="661"/>
      <c r="AI37" s="609"/>
      <c r="AJ37" s="661"/>
      <c r="AK37" s="609"/>
      <c r="AL37" s="661"/>
      <c r="AM37" s="609"/>
      <c r="AN37" s="661"/>
      <c r="AO37" s="609"/>
      <c r="AP37" s="661"/>
      <c r="AQ37" s="609"/>
      <c r="AR37" s="661"/>
    </row>
    <row r="38" spans="1:44" ht="16.5" thickBot="1">
      <c r="A38" s="1031" t="s">
        <v>111</v>
      </c>
      <c r="B38" s="1051"/>
      <c r="C38" s="610"/>
      <c r="D38" s="662"/>
      <c r="E38" s="610"/>
      <c r="F38" s="662"/>
      <c r="G38" s="610"/>
      <c r="H38" s="662"/>
      <c r="I38" s="610"/>
      <c r="J38" s="662"/>
      <c r="K38" s="610"/>
      <c r="L38" s="662"/>
      <c r="M38" s="610"/>
      <c r="N38" s="662"/>
      <c r="O38" s="610"/>
      <c r="P38" s="662"/>
      <c r="Q38" s="610"/>
      <c r="R38" s="662"/>
      <c r="S38" s="610"/>
      <c r="T38" s="662"/>
      <c r="U38" s="610"/>
      <c r="V38" s="662"/>
      <c r="W38" s="610"/>
      <c r="X38" s="662"/>
      <c r="Y38" s="610"/>
      <c r="Z38" s="662"/>
      <c r="AA38" s="610"/>
      <c r="AB38" s="662"/>
      <c r="AC38" s="610"/>
      <c r="AD38" s="662"/>
      <c r="AE38" s="610"/>
      <c r="AF38" s="662"/>
      <c r="AG38" s="610"/>
      <c r="AH38" s="662"/>
      <c r="AI38" s="610"/>
      <c r="AJ38" s="662"/>
      <c r="AK38" s="610"/>
      <c r="AL38" s="662"/>
      <c r="AM38" s="610"/>
      <c r="AN38" s="662"/>
      <c r="AO38" s="610"/>
      <c r="AP38" s="662"/>
      <c r="AQ38" s="610"/>
      <c r="AR38" s="662"/>
    </row>
    <row r="39" spans="1:44">
      <c r="A39" s="114" t="s">
        <v>67</v>
      </c>
      <c r="B39" s="115" t="s">
        <v>74</v>
      </c>
      <c r="C39" s="663"/>
      <c r="D39" s="663"/>
      <c r="E39" s="663">
        <v>300</v>
      </c>
      <c r="F39" s="663"/>
      <c r="G39" s="663">
        <v>300</v>
      </c>
      <c r="H39" s="663"/>
      <c r="I39" s="663">
        <v>300</v>
      </c>
      <c r="J39" s="663"/>
      <c r="K39" s="663">
        <v>300</v>
      </c>
      <c r="L39" s="663"/>
      <c r="M39" s="663">
        <v>300</v>
      </c>
      <c r="N39" s="663"/>
      <c r="O39" s="663">
        <v>300</v>
      </c>
      <c r="P39" s="663"/>
      <c r="Q39" s="663">
        <v>300</v>
      </c>
      <c r="R39" s="663"/>
      <c r="S39" s="663">
        <v>300</v>
      </c>
      <c r="T39" s="663"/>
      <c r="U39" s="663">
        <v>300</v>
      </c>
      <c r="V39" s="663"/>
      <c r="W39" s="663">
        <v>300</v>
      </c>
      <c r="X39" s="663"/>
      <c r="Y39" s="663">
        <v>300</v>
      </c>
      <c r="Z39" s="663"/>
      <c r="AA39" s="663">
        <v>300</v>
      </c>
      <c r="AB39" s="663"/>
      <c r="AC39" s="663">
        <v>300</v>
      </c>
      <c r="AD39" s="663"/>
      <c r="AE39" s="663">
        <v>300</v>
      </c>
      <c r="AF39" s="663"/>
      <c r="AG39" s="663">
        <v>300</v>
      </c>
      <c r="AH39" s="663"/>
      <c r="AI39" s="663">
        <v>300</v>
      </c>
      <c r="AJ39" s="663"/>
      <c r="AK39" s="663">
        <v>300</v>
      </c>
      <c r="AL39" s="663"/>
      <c r="AM39" s="663">
        <v>300</v>
      </c>
      <c r="AN39" s="663"/>
      <c r="AO39" s="663">
        <v>300</v>
      </c>
      <c r="AP39" s="663"/>
      <c r="AQ39" s="663"/>
      <c r="AR39" s="663"/>
    </row>
    <row r="40" spans="1:44" ht="48" thickBot="1">
      <c r="A40" s="122" t="s">
        <v>58</v>
      </c>
      <c r="B40" s="123" t="s">
        <v>75</v>
      </c>
      <c r="C40" s="473">
        <v>112785.07</v>
      </c>
      <c r="D40" s="473">
        <v>0.11</v>
      </c>
      <c r="E40" s="473">
        <v>113349.36</v>
      </c>
      <c r="F40" s="473">
        <v>0.11</v>
      </c>
      <c r="G40" s="473">
        <v>113913.65</v>
      </c>
      <c r="H40" s="473">
        <v>0.11</v>
      </c>
      <c r="I40" s="473">
        <v>114477.94</v>
      </c>
      <c r="J40" s="473">
        <v>0.11</v>
      </c>
      <c r="K40" s="473">
        <v>115042.22</v>
      </c>
      <c r="L40" s="473">
        <v>0.11</v>
      </c>
      <c r="M40" s="473">
        <v>116735.09</v>
      </c>
      <c r="N40" s="473">
        <v>0.11</v>
      </c>
      <c r="O40" s="473">
        <v>117299.38</v>
      </c>
      <c r="P40" s="473">
        <v>0.11</v>
      </c>
      <c r="Q40" s="473">
        <v>117863.66</v>
      </c>
      <c r="R40" s="473">
        <v>0.11</v>
      </c>
      <c r="S40" s="473">
        <v>118427.95</v>
      </c>
      <c r="T40" s="473">
        <v>0.11</v>
      </c>
      <c r="U40" s="473">
        <v>118992.24</v>
      </c>
      <c r="V40" s="473">
        <v>0.11</v>
      </c>
      <c r="W40" s="473">
        <v>120685.1</v>
      </c>
      <c r="X40" s="473">
        <v>0.12</v>
      </c>
      <c r="Y40" s="473">
        <v>121249.39</v>
      </c>
      <c r="Z40" s="473">
        <v>0.12</v>
      </c>
      <c r="AA40" s="473">
        <v>121813.68</v>
      </c>
      <c r="AB40" s="473">
        <v>0.12</v>
      </c>
      <c r="AC40" s="473">
        <v>122377.96</v>
      </c>
      <c r="AD40" s="473">
        <v>0.12</v>
      </c>
      <c r="AE40" s="473">
        <v>122942.25</v>
      </c>
      <c r="AF40" s="473">
        <v>0.12</v>
      </c>
      <c r="AG40" s="473">
        <v>124635.11</v>
      </c>
      <c r="AH40" s="473">
        <v>0.12</v>
      </c>
      <c r="AI40" s="473">
        <v>125199.4</v>
      </c>
      <c r="AJ40" s="473">
        <v>0.12</v>
      </c>
      <c r="AK40" s="473">
        <v>125763.69</v>
      </c>
      <c r="AL40" s="473">
        <v>0.12</v>
      </c>
      <c r="AM40" s="473">
        <v>126327.98</v>
      </c>
      <c r="AN40" s="473">
        <v>0.12</v>
      </c>
      <c r="AO40" s="473">
        <v>126892.27</v>
      </c>
      <c r="AP40" s="473">
        <v>0.12</v>
      </c>
      <c r="AQ40" s="473">
        <v>129899.40000000001</v>
      </c>
      <c r="AR40" s="473">
        <v>0.12</v>
      </c>
    </row>
    <row r="41" spans="1:44" ht="32.25" thickBot="1">
      <c r="A41" s="122" t="s">
        <v>58</v>
      </c>
      <c r="B41" s="123" t="s">
        <v>131</v>
      </c>
      <c r="C41" s="663"/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3"/>
      <c r="Q41" s="663"/>
      <c r="R41" s="663"/>
      <c r="S41" s="663"/>
      <c r="T41" s="663"/>
      <c r="U41" s="663"/>
      <c r="V41" s="663"/>
      <c r="W41" s="663"/>
      <c r="X41" s="663"/>
      <c r="Y41" s="663"/>
      <c r="Z41" s="663"/>
      <c r="AA41" s="663"/>
      <c r="AB41" s="663"/>
      <c r="AC41" s="663"/>
      <c r="AD41" s="663"/>
      <c r="AE41" s="663"/>
      <c r="AF41" s="663"/>
      <c r="AG41" s="663"/>
      <c r="AH41" s="663"/>
      <c r="AI41" s="663"/>
      <c r="AJ41" s="663"/>
      <c r="AK41" s="663"/>
      <c r="AL41" s="663"/>
      <c r="AM41" s="663"/>
      <c r="AN41" s="663"/>
      <c r="AO41" s="663"/>
      <c r="AP41" s="663"/>
      <c r="AQ41" s="663"/>
      <c r="AR41" s="663"/>
    </row>
    <row r="42" spans="1:44" ht="16.5" thickBot="1">
      <c r="A42" s="122" t="s">
        <v>101</v>
      </c>
      <c r="B42" s="123" t="s">
        <v>57</v>
      </c>
      <c r="C42" s="539">
        <v>1359262.77</v>
      </c>
      <c r="D42" s="667">
        <v>1.3</v>
      </c>
      <c r="E42" s="539">
        <v>1355518.25</v>
      </c>
      <c r="F42" s="667">
        <v>1.3</v>
      </c>
      <c r="G42" s="539">
        <v>1351773.72</v>
      </c>
      <c r="H42" s="667">
        <v>1.3</v>
      </c>
      <c r="I42" s="539">
        <v>1348029.2</v>
      </c>
      <c r="J42" s="667">
        <v>1.3</v>
      </c>
      <c r="K42" s="539">
        <v>1344284.67</v>
      </c>
      <c r="L42" s="667">
        <v>1.28</v>
      </c>
      <c r="M42" s="539">
        <v>1333051.0900000001</v>
      </c>
      <c r="N42" s="667">
        <v>1.28</v>
      </c>
      <c r="O42" s="539">
        <v>1329306.57</v>
      </c>
      <c r="P42" s="667">
        <v>1.28</v>
      </c>
      <c r="Q42" s="539">
        <v>1325562.04</v>
      </c>
      <c r="R42" s="667">
        <v>1.27</v>
      </c>
      <c r="S42" s="539">
        <v>1321817.52</v>
      </c>
      <c r="T42" s="667">
        <v>1.27</v>
      </c>
      <c r="U42" s="515">
        <v>1318072.99</v>
      </c>
      <c r="V42" s="667">
        <v>1.27</v>
      </c>
      <c r="W42" s="539">
        <v>1306839.42</v>
      </c>
      <c r="X42" s="667">
        <v>1.26</v>
      </c>
      <c r="Y42" s="539">
        <v>1303094.8899999999</v>
      </c>
      <c r="Z42" s="667">
        <v>1.26</v>
      </c>
      <c r="AA42" s="539">
        <v>1299350.3600000001</v>
      </c>
      <c r="AB42" s="667">
        <v>1.25</v>
      </c>
      <c r="AC42" s="539">
        <v>1295605.8400000001</v>
      </c>
      <c r="AD42" s="667">
        <v>1.25</v>
      </c>
      <c r="AE42" s="539">
        <v>1291861.31</v>
      </c>
      <c r="AF42" s="667">
        <v>1.24</v>
      </c>
      <c r="AG42" s="539">
        <v>1280627.74</v>
      </c>
      <c r="AH42" s="667">
        <v>1.23</v>
      </c>
      <c r="AI42" s="539">
        <v>1276883.21</v>
      </c>
      <c r="AJ42" s="667">
        <v>1.22</v>
      </c>
      <c r="AK42" s="539">
        <v>1273138.69</v>
      </c>
      <c r="AL42" s="667">
        <v>1.22</v>
      </c>
      <c r="AM42" s="539">
        <v>1269394.1599999999</v>
      </c>
      <c r="AN42" s="667">
        <v>1.22</v>
      </c>
      <c r="AO42" s="539">
        <v>1265649.6399999999</v>
      </c>
      <c r="AP42" s="667">
        <v>1.21</v>
      </c>
      <c r="AQ42" s="539">
        <v>1254416.06</v>
      </c>
      <c r="AR42" s="667">
        <v>1.2</v>
      </c>
    </row>
    <row r="43" spans="1:44" ht="16.5" thickBot="1">
      <c r="A43" s="122" t="s">
        <v>29</v>
      </c>
      <c r="B43" s="123" t="s">
        <v>57</v>
      </c>
      <c r="C43" s="614"/>
      <c r="D43" s="669"/>
      <c r="E43" s="614"/>
      <c r="F43" s="669"/>
      <c r="G43" s="614"/>
      <c r="H43" s="669"/>
      <c r="I43" s="614"/>
      <c r="J43" s="669"/>
      <c r="K43" s="614"/>
      <c r="L43" s="669"/>
      <c r="M43" s="614"/>
      <c r="N43" s="669"/>
      <c r="O43" s="614"/>
      <c r="P43" s="669"/>
      <c r="Q43" s="614"/>
      <c r="R43" s="669"/>
      <c r="S43" s="614"/>
      <c r="T43" s="669"/>
      <c r="U43" s="614"/>
      <c r="V43" s="669"/>
      <c r="W43" s="614"/>
      <c r="X43" s="669"/>
      <c r="Y43" s="614"/>
      <c r="Z43" s="669"/>
      <c r="AA43" s="614"/>
      <c r="AB43" s="669"/>
      <c r="AC43" s="614"/>
      <c r="AD43" s="669"/>
      <c r="AE43" s="614"/>
      <c r="AF43" s="669"/>
      <c r="AG43" s="614"/>
      <c r="AH43" s="669"/>
      <c r="AI43" s="614"/>
      <c r="AJ43" s="669"/>
      <c r="AK43" s="614"/>
      <c r="AL43" s="669"/>
      <c r="AM43" s="614"/>
      <c r="AN43" s="669"/>
      <c r="AO43" s="614"/>
      <c r="AP43" s="669"/>
      <c r="AQ43" s="614"/>
      <c r="AR43" s="669"/>
    </row>
    <row r="44" spans="1:44">
      <c r="A44" s="122" t="s">
        <v>37</v>
      </c>
      <c r="B44" s="123" t="s">
        <v>57</v>
      </c>
      <c r="C44" s="614"/>
      <c r="D44" s="669"/>
      <c r="E44" s="614"/>
      <c r="F44" s="669"/>
      <c r="G44" s="614"/>
      <c r="H44" s="669"/>
      <c r="I44" s="614"/>
      <c r="J44" s="669"/>
      <c r="K44" s="614"/>
      <c r="L44" s="669"/>
      <c r="M44" s="614"/>
      <c r="N44" s="669"/>
      <c r="O44" s="614"/>
      <c r="P44" s="669"/>
      <c r="Q44" s="614"/>
      <c r="R44" s="669"/>
      <c r="S44" s="614"/>
      <c r="T44" s="669"/>
      <c r="U44" s="614"/>
      <c r="V44" s="669"/>
      <c r="W44" s="614"/>
      <c r="X44" s="669"/>
      <c r="Y44" s="614"/>
      <c r="Z44" s="669"/>
      <c r="AA44" s="614"/>
      <c r="AB44" s="669"/>
      <c r="AC44" s="614"/>
      <c r="AD44" s="669"/>
      <c r="AE44" s="614"/>
      <c r="AF44" s="669"/>
      <c r="AG44" s="614"/>
      <c r="AH44" s="669"/>
      <c r="AI44" s="614"/>
      <c r="AJ44" s="669"/>
      <c r="AK44" s="614"/>
      <c r="AL44" s="669"/>
      <c r="AM44" s="614"/>
      <c r="AN44" s="669"/>
      <c r="AO44" s="614"/>
      <c r="AP44" s="669"/>
      <c r="AQ44" s="614"/>
      <c r="AR44" s="669"/>
    </row>
    <row r="45" spans="1:44">
      <c r="A45" s="122" t="s">
        <v>68</v>
      </c>
      <c r="B45" s="123" t="s">
        <v>57</v>
      </c>
      <c r="C45" s="492">
        <v>953026.57</v>
      </c>
      <c r="D45" s="492">
        <v>0.92</v>
      </c>
      <c r="E45" s="492">
        <v>951442.86</v>
      </c>
      <c r="F45" s="492">
        <v>0.91</v>
      </c>
      <c r="G45" s="492">
        <v>949859.14999999991</v>
      </c>
      <c r="H45" s="492">
        <v>0.93</v>
      </c>
      <c r="I45" s="492">
        <v>948275.45000000007</v>
      </c>
      <c r="J45" s="492">
        <v>0.93</v>
      </c>
      <c r="K45" s="492">
        <v>946691.75</v>
      </c>
      <c r="L45" s="492">
        <v>0.93</v>
      </c>
      <c r="M45" s="492">
        <v>941940.64999999991</v>
      </c>
      <c r="N45" s="492">
        <v>0.91</v>
      </c>
      <c r="O45" s="492">
        <v>940356.96000000008</v>
      </c>
      <c r="P45" s="492">
        <v>0.91</v>
      </c>
      <c r="Q45" s="492">
        <v>938773.24</v>
      </c>
      <c r="R45" s="492">
        <v>0.91</v>
      </c>
      <c r="S45" s="492">
        <v>937189.52999999991</v>
      </c>
      <c r="T45" s="492">
        <v>0.91</v>
      </c>
      <c r="U45" s="770">
        <v>935605.84</v>
      </c>
      <c r="V45" s="492">
        <v>0.91</v>
      </c>
      <c r="W45" s="770">
        <v>930854.73999999987</v>
      </c>
      <c r="X45" s="492">
        <v>0.9</v>
      </c>
      <c r="Y45" s="770">
        <v>929271.05</v>
      </c>
      <c r="Z45" s="492">
        <v>0.89</v>
      </c>
      <c r="AA45" s="770">
        <v>927687.33</v>
      </c>
      <c r="AB45" s="492">
        <v>0.89</v>
      </c>
      <c r="AC45" s="770">
        <v>1063753.6599999999</v>
      </c>
      <c r="AD45" s="492">
        <v>1.03</v>
      </c>
      <c r="AE45" s="770">
        <v>1062169.9700000002</v>
      </c>
      <c r="AF45" s="492">
        <v>1.03</v>
      </c>
      <c r="AG45" s="539">
        <v>1057418.8599999999</v>
      </c>
      <c r="AH45" s="492">
        <v>1.02</v>
      </c>
      <c r="AI45" s="539">
        <v>1055835.1599999999</v>
      </c>
      <c r="AJ45" s="492">
        <v>1.02</v>
      </c>
      <c r="AK45" s="539">
        <v>1054251.4700000002</v>
      </c>
      <c r="AL45" s="492">
        <v>1.02</v>
      </c>
      <c r="AM45" s="539">
        <v>1053233.24</v>
      </c>
      <c r="AN45" s="492">
        <v>1.02</v>
      </c>
      <c r="AO45" s="539">
        <v>1051523.32</v>
      </c>
      <c r="AP45" s="492">
        <v>1.02</v>
      </c>
      <c r="AQ45" s="539">
        <v>1046393.5399999999</v>
      </c>
      <c r="AR45" s="492">
        <v>1</v>
      </c>
    </row>
    <row r="46" spans="1:44">
      <c r="A46" s="129" t="s">
        <v>69</v>
      </c>
      <c r="B46" s="123" t="s">
        <v>57</v>
      </c>
      <c r="C46" s="616"/>
      <c r="D46" s="673"/>
      <c r="E46" s="616"/>
      <c r="F46" s="673"/>
      <c r="G46" s="616"/>
      <c r="H46" s="673"/>
      <c r="I46" s="616"/>
      <c r="J46" s="673"/>
      <c r="K46" s="616"/>
      <c r="L46" s="673"/>
      <c r="M46" s="616"/>
      <c r="N46" s="673"/>
      <c r="O46" s="616"/>
      <c r="P46" s="673"/>
      <c r="Q46" s="616"/>
      <c r="R46" s="673"/>
      <c r="S46" s="616"/>
      <c r="T46" s="673"/>
      <c r="U46" s="616"/>
      <c r="V46" s="673"/>
      <c r="W46" s="616"/>
      <c r="X46" s="673"/>
      <c r="Y46" s="616"/>
      <c r="Z46" s="673"/>
      <c r="AA46" s="616"/>
      <c r="AB46" s="673"/>
      <c r="AC46" s="616"/>
      <c r="AD46" s="673"/>
      <c r="AE46" s="616"/>
      <c r="AF46" s="673"/>
      <c r="AG46" s="616"/>
      <c r="AH46" s="673"/>
      <c r="AI46" s="616"/>
      <c r="AJ46" s="673"/>
      <c r="AK46" s="616"/>
      <c r="AL46" s="673"/>
      <c r="AM46" s="616"/>
      <c r="AN46" s="673"/>
      <c r="AO46" s="616"/>
      <c r="AP46" s="673"/>
      <c r="AQ46" s="616"/>
      <c r="AR46" s="673"/>
    </row>
    <row r="47" spans="1:44" ht="48" thickBot="1">
      <c r="A47" s="122" t="s">
        <v>70</v>
      </c>
      <c r="B47" s="123" t="s">
        <v>76</v>
      </c>
      <c r="C47" s="617">
        <v>2009900</v>
      </c>
      <c r="D47" s="665">
        <v>1.93</v>
      </c>
      <c r="E47" s="617">
        <v>2009900</v>
      </c>
      <c r="F47" s="665">
        <v>1.93</v>
      </c>
      <c r="G47" s="617">
        <v>2009900</v>
      </c>
      <c r="H47" s="665">
        <v>1.94</v>
      </c>
      <c r="I47" s="617">
        <v>2009900</v>
      </c>
      <c r="J47" s="665">
        <v>1.94</v>
      </c>
      <c r="K47" s="617">
        <v>2009900</v>
      </c>
      <c r="L47" s="665">
        <v>1.94</v>
      </c>
      <c r="M47" s="617">
        <v>2009900</v>
      </c>
      <c r="N47" s="665">
        <v>1.94</v>
      </c>
      <c r="O47" s="617">
        <v>2009900</v>
      </c>
      <c r="P47" s="665">
        <v>1.94</v>
      </c>
      <c r="Q47" s="617">
        <v>2009900</v>
      </c>
      <c r="R47" s="665">
        <v>1.94</v>
      </c>
      <c r="S47" s="617">
        <v>2009900</v>
      </c>
      <c r="T47" s="665">
        <v>1.94</v>
      </c>
      <c r="U47" s="775">
        <v>2009900</v>
      </c>
      <c r="V47" s="665">
        <v>1.94</v>
      </c>
      <c r="W47" s="775">
        <v>2009900</v>
      </c>
      <c r="X47" s="665">
        <v>1.94</v>
      </c>
      <c r="Y47" s="775">
        <v>2009900</v>
      </c>
      <c r="Z47" s="665">
        <v>1.94</v>
      </c>
      <c r="AA47" s="775">
        <v>2009900</v>
      </c>
      <c r="AB47" s="665">
        <v>1.94</v>
      </c>
      <c r="AC47" s="775">
        <v>2009900</v>
      </c>
      <c r="AD47" s="665">
        <v>1.94</v>
      </c>
      <c r="AE47" s="775">
        <v>2009900</v>
      </c>
      <c r="AF47" s="665">
        <v>1.94</v>
      </c>
      <c r="AG47" s="775">
        <v>2009900</v>
      </c>
      <c r="AH47" s="665">
        <v>1.94</v>
      </c>
      <c r="AI47" s="775">
        <v>2009900</v>
      </c>
      <c r="AJ47" s="665">
        <v>1.94</v>
      </c>
      <c r="AK47" s="775">
        <v>2009900</v>
      </c>
      <c r="AL47" s="665">
        <v>1.94</v>
      </c>
      <c r="AM47" s="775">
        <v>2009900</v>
      </c>
      <c r="AN47" s="665">
        <v>1.94</v>
      </c>
      <c r="AO47" s="775">
        <v>2009900</v>
      </c>
      <c r="AP47" s="665">
        <v>1.94</v>
      </c>
      <c r="AQ47" s="775">
        <v>2009900</v>
      </c>
      <c r="AR47" s="665">
        <v>1.92</v>
      </c>
    </row>
    <row r="48" spans="1:44" ht="15">
      <c r="A48" s="696" t="s">
        <v>105</v>
      </c>
      <c r="B48" s="696" t="s">
        <v>105</v>
      </c>
      <c r="C48" s="621"/>
      <c r="D48" s="667"/>
      <c r="E48" s="621"/>
      <c r="F48" s="667"/>
      <c r="G48" s="621"/>
      <c r="H48" s="667"/>
      <c r="I48" s="621"/>
      <c r="J48" s="667"/>
      <c r="K48" s="621"/>
      <c r="L48" s="667"/>
      <c r="M48" s="621"/>
      <c r="N48" s="667"/>
      <c r="O48" s="621"/>
      <c r="P48" s="667"/>
      <c r="Q48" s="621"/>
      <c r="R48" s="667"/>
      <c r="S48" s="621"/>
      <c r="T48" s="667"/>
      <c r="U48" s="621"/>
      <c r="V48" s="667"/>
      <c r="W48" s="621"/>
      <c r="X48" s="667"/>
      <c r="Y48" s="621"/>
      <c r="Z48" s="667"/>
      <c r="AA48" s="621"/>
      <c r="AB48" s="667"/>
      <c r="AC48" s="621"/>
      <c r="AD48" s="667"/>
      <c r="AE48" s="621"/>
      <c r="AF48" s="667"/>
      <c r="AG48" s="621"/>
      <c r="AH48" s="667"/>
      <c r="AI48" s="621"/>
      <c r="AJ48" s="667"/>
      <c r="AK48" s="621"/>
      <c r="AL48" s="667"/>
      <c r="AM48" s="621"/>
      <c r="AN48" s="667"/>
      <c r="AO48" s="621"/>
      <c r="AP48" s="667"/>
      <c r="AQ48" s="621"/>
      <c r="AR48" s="667"/>
    </row>
    <row r="49" spans="1:44">
      <c r="A49" s="122" t="s">
        <v>49</v>
      </c>
      <c r="B49" s="123" t="s">
        <v>50</v>
      </c>
      <c r="C49" s="592">
        <v>10166.84</v>
      </c>
      <c r="D49" s="665">
        <v>0.01</v>
      </c>
      <c r="E49" s="592">
        <v>10166.84</v>
      </c>
      <c r="F49" s="665">
        <v>0.01</v>
      </c>
      <c r="G49" s="712">
        <v>10470.31</v>
      </c>
      <c r="H49" s="665">
        <v>0.01</v>
      </c>
      <c r="I49" s="712">
        <v>10470.31</v>
      </c>
      <c r="J49" s="665">
        <v>0.01</v>
      </c>
      <c r="K49" s="592">
        <v>11399.64</v>
      </c>
      <c r="L49" s="665">
        <v>0.01</v>
      </c>
      <c r="M49" s="592">
        <v>12086.44</v>
      </c>
      <c r="N49" s="665">
        <v>0.01</v>
      </c>
      <c r="O49" s="592">
        <v>12086.44</v>
      </c>
      <c r="P49" s="665">
        <v>0.01</v>
      </c>
      <c r="Q49" s="592">
        <v>12086.44</v>
      </c>
      <c r="R49" s="665">
        <v>0.01</v>
      </c>
      <c r="S49" s="592">
        <v>12086.44</v>
      </c>
      <c r="T49" s="665">
        <v>0.01</v>
      </c>
      <c r="U49" s="767">
        <v>12086.44</v>
      </c>
      <c r="V49" s="665">
        <v>0.01</v>
      </c>
      <c r="W49" s="592">
        <v>9413.11</v>
      </c>
      <c r="X49" s="665">
        <v>0.01</v>
      </c>
      <c r="Y49" s="592">
        <v>9413.11</v>
      </c>
      <c r="Z49" s="665">
        <v>0.01</v>
      </c>
      <c r="AA49" s="592">
        <v>9413.11</v>
      </c>
      <c r="AB49" s="665">
        <v>0.01</v>
      </c>
      <c r="AC49" s="592">
        <v>9413.11</v>
      </c>
      <c r="AD49" s="665">
        <v>0.01</v>
      </c>
      <c r="AE49" s="592">
        <v>9413.11</v>
      </c>
      <c r="AF49" s="665">
        <v>0.01</v>
      </c>
      <c r="AG49" s="592">
        <v>9413.11</v>
      </c>
      <c r="AH49" s="665">
        <v>0.01</v>
      </c>
      <c r="AI49" s="592">
        <v>14748.11</v>
      </c>
      <c r="AJ49" s="665">
        <v>0.02</v>
      </c>
      <c r="AK49" s="592">
        <v>14748.11</v>
      </c>
      <c r="AL49" s="665">
        <v>0.02</v>
      </c>
      <c r="AM49" s="592">
        <v>14908.11</v>
      </c>
      <c r="AN49" s="665">
        <v>0.02</v>
      </c>
      <c r="AO49" s="592">
        <v>14908.11</v>
      </c>
      <c r="AP49" s="665">
        <v>0.02</v>
      </c>
      <c r="AQ49" s="767">
        <v>5488.42</v>
      </c>
      <c r="AR49" s="665">
        <v>0.01</v>
      </c>
    </row>
    <row r="50" spans="1:44" ht="48" thickBot="1">
      <c r="A50" s="122" t="s">
        <v>56</v>
      </c>
      <c r="B50" s="123" t="s">
        <v>77</v>
      </c>
      <c r="C50" s="673"/>
      <c r="D50" s="673"/>
      <c r="E50" s="673"/>
      <c r="F50" s="673"/>
      <c r="G50" s="673"/>
      <c r="H50" s="673"/>
      <c r="I50" s="673"/>
      <c r="J50" s="673"/>
      <c r="K50" s="673"/>
      <c r="L50" s="673"/>
      <c r="M50" s="673"/>
      <c r="N50" s="673"/>
      <c r="O50" s="673"/>
      <c r="P50" s="673"/>
      <c r="Q50" s="549">
        <v>4027.85</v>
      </c>
      <c r="R50" s="673"/>
      <c r="S50" s="549">
        <v>4027.85</v>
      </c>
      <c r="T50" s="673"/>
      <c r="U50" s="766">
        <v>4027.85</v>
      </c>
      <c r="V50" s="673"/>
      <c r="W50" s="766">
        <v>4027.85</v>
      </c>
      <c r="X50" s="673"/>
      <c r="Y50" s="766">
        <v>4027.85</v>
      </c>
      <c r="Z50" s="673"/>
      <c r="AA50" s="766">
        <v>4027.85</v>
      </c>
      <c r="AB50" s="673"/>
      <c r="AC50" s="766">
        <v>4027.85</v>
      </c>
      <c r="AD50" s="673"/>
      <c r="AE50" s="766">
        <v>4027.85</v>
      </c>
      <c r="AF50" s="673"/>
      <c r="AG50" s="766">
        <v>4027.85</v>
      </c>
      <c r="AH50" s="673"/>
      <c r="AI50" s="766">
        <v>4027.85</v>
      </c>
      <c r="AJ50" s="673"/>
      <c r="AK50" s="766">
        <v>4027.85</v>
      </c>
      <c r="AL50" s="673"/>
      <c r="AM50" s="766">
        <v>4027.85</v>
      </c>
      <c r="AN50" s="673"/>
      <c r="AO50" s="766">
        <v>4027.85</v>
      </c>
      <c r="AP50" s="673"/>
      <c r="AQ50" s="673"/>
      <c r="AR50" s="673"/>
    </row>
    <row r="51" spans="1:44" ht="79.5" thickBot="1">
      <c r="A51" s="132" t="s">
        <v>72</v>
      </c>
      <c r="B51" s="123" t="s">
        <v>78</v>
      </c>
      <c r="C51" s="473">
        <v>2141.2800000000002</v>
      </c>
      <c r="D51" s="667">
        <v>0</v>
      </c>
      <c r="E51" s="473">
        <v>2141.2800000000002</v>
      </c>
      <c r="F51" s="667">
        <v>0</v>
      </c>
      <c r="G51" s="712">
        <v>3962.12</v>
      </c>
      <c r="H51" s="667">
        <v>0</v>
      </c>
      <c r="I51" s="712">
        <v>3962.12</v>
      </c>
      <c r="J51" s="667">
        <v>0</v>
      </c>
      <c r="K51" s="712">
        <v>3962.12</v>
      </c>
      <c r="L51" s="667">
        <v>0</v>
      </c>
      <c r="M51" s="479">
        <v>3962.12</v>
      </c>
      <c r="N51" s="667">
        <v>0</v>
      </c>
      <c r="O51" s="479">
        <v>3962.12</v>
      </c>
      <c r="P51" s="667">
        <v>0</v>
      </c>
      <c r="Q51" s="479">
        <v>3962.12</v>
      </c>
      <c r="R51" s="667">
        <v>0</v>
      </c>
      <c r="S51" s="479">
        <v>3962.12</v>
      </c>
      <c r="T51" s="667">
        <v>0</v>
      </c>
      <c r="U51" s="510">
        <v>3962.12</v>
      </c>
      <c r="V51" s="667">
        <v>0</v>
      </c>
      <c r="W51" s="510">
        <v>3962.12</v>
      </c>
      <c r="X51" s="667">
        <v>0</v>
      </c>
      <c r="Y51" s="510">
        <v>3962.12</v>
      </c>
      <c r="Z51" s="667">
        <v>0</v>
      </c>
      <c r="AA51" s="510">
        <v>3962.12</v>
      </c>
      <c r="AB51" s="667">
        <v>0</v>
      </c>
      <c r="AC51" s="510">
        <v>3962.12</v>
      </c>
      <c r="AD51" s="667">
        <v>0</v>
      </c>
      <c r="AE51" s="510">
        <v>3962.12</v>
      </c>
      <c r="AF51" s="667">
        <v>0</v>
      </c>
      <c r="AG51" s="510">
        <v>3962.12</v>
      </c>
      <c r="AH51" s="667">
        <v>0</v>
      </c>
      <c r="AI51" s="510">
        <v>3962.12</v>
      </c>
      <c r="AJ51" s="667">
        <v>0</v>
      </c>
      <c r="AK51" s="510">
        <v>3962.12</v>
      </c>
      <c r="AL51" s="667">
        <v>0</v>
      </c>
      <c r="AM51" s="510">
        <v>3962.12</v>
      </c>
      <c r="AN51" s="667">
        <v>0</v>
      </c>
      <c r="AO51" s="510">
        <v>3962.12</v>
      </c>
      <c r="AP51" s="667">
        <v>0</v>
      </c>
      <c r="AQ51" s="767">
        <v>2265.48</v>
      </c>
      <c r="AR51" s="667">
        <v>0</v>
      </c>
    </row>
    <row r="52" spans="1:44" ht="32.25" thickBot="1">
      <c r="A52" s="132" t="s">
        <v>51</v>
      </c>
      <c r="B52" s="123" t="s">
        <v>52</v>
      </c>
      <c r="C52" s="751">
        <v>19526.05</v>
      </c>
      <c r="D52" s="667">
        <v>0.02</v>
      </c>
      <c r="E52" s="751">
        <v>19526.05</v>
      </c>
      <c r="F52" s="667">
        <v>0.02</v>
      </c>
      <c r="G52" s="751">
        <v>19526.05</v>
      </c>
      <c r="H52" s="667">
        <v>0.02</v>
      </c>
      <c r="I52" s="753"/>
      <c r="J52" s="699"/>
      <c r="K52" s="753"/>
      <c r="L52" s="699"/>
      <c r="M52" s="753"/>
      <c r="N52" s="699"/>
      <c r="O52" s="753"/>
      <c r="P52" s="699"/>
      <c r="Q52" s="753"/>
      <c r="R52" s="699"/>
      <c r="S52" s="753"/>
      <c r="T52" s="699"/>
      <c r="U52" s="753"/>
      <c r="V52" s="699"/>
      <c r="W52" s="753"/>
      <c r="X52" s="699"/>
      <c r="Y52" s="753"/>
      <c r="Z52" s="699"/>
      <c r="AA52" s="753"/>
      <c r="AB52" s="699"/>
      <c r="AC52" s="753"/>
      <c r="AD52" s="699"/>
      <c r="AE52" s="753"/>
      <c r="AF52" s="699"/>
      <c r="AG52" s="753"/>
      <c r="AH52" s="699"/>
      <c r="AI52" s="753"/>
      <c r="AJ52" s="699"/>
      <c r="AK52" s="753"/>
      <c r="AL52" s="699"/>
      <c r="AM52" s="753"/>
      <c r="AN52" s="699"/>
      <c r="AO52" s="753"/>
      <c r="AP52" s="699"/>
      <c r="AQ52" s="753">
        <v>20102.879999999997</v>
      </c>
      <c r="AR52" s="699">
        <v>0.02</v>
      </c>
    </row>
    <row r="53" spans="1:44" thickBot="1">
      <c r="A53" s="1049" t="s">
        <v>127</v>
      </c>
      <c r="B53" s="1050"/>
      <c r="C53" s="751">
        <v>23641.269999999997</v>
      </c>
      <c r="D53" s="667">
        <v>0.02</v>
      </c>
      <c r="E53" s="751">
        <v>23641.269999999997</v>
      </c>
      <c r="F53" s="667">
        <v>0.02</v>
      </c>
      <c r="G53" s="751">
        <v>23641.269999999997</v>
      </c>
      <c r="H53" s="667">
        <v>0.02</v>
      </c>
      <c r="I53" s="751">
        <v>23641.269999999997</v>
      </c>
      <c r="J53" s="667">
        <v>0.02</v>
      </c>
      <c r="K53" s="751">
        <v>23641.269999999997</v>
      </c>
      <c r="L53" s="667">
        <v>0.02</v>
      </c>
      <c r="M53" s="751">
        <v>23641.269999999997</v>
      </c>
      <c r="N53" s="667">
        <v>0.02</v>
      </c>
      <c r="O53" s="751">
        <v>23641.269999999997</v>
      </c>
      <c r="P53" s="667">
        <v>0.02</v>
      </c>
      <c r="Q53" s="751">
        <v>23641.269999999997</v>
      </c>
      <c r="R53" s="667">
        <v>0.02</v>
      </c>
      <c r="S53" s="751">
        <v>23641.269999999997</v>
      </c>
      <c r="T53" s="667">
        <v>0.02</v>
      </c>
      <c r="U53" s="751">
        <v>23641.269999999997</v>
      </c>
      <c r="V53" s="667">
        <v>0.02</v>
      </c>
      <c r="W53" s="751">
        <v>23641.269999999997</v>
      </c>
      <c r="X53" s="667">
        <v>0.02</v>
      </c>
      <c r="Y53" s="751">
        <v>23641.269999999997</v>
      </c>
      <c r="Z53" s="667">
        <v>0.02</v>
      </c>
      <c r="AA53" s="751">
        <v>23641.269999999997</v>
      </c>
      <c r="AB53" s="667">
        <v>0.02</v>
      </c>
      <c r="AC53" s="751">
        <v>23641.269999999997</v>
      </c>
      <c r="AD53" s="667">
        <v>0.02</v>
      </c>
      <c r="AE53" s="751">
        <v>23641.269999999997</v>
      </c>
      <c r="AF53" s="667">
        <v>0.02</v>
      </c>
      <c r="AG53" s="751">
        <v>23641.269999999997</v>
      </c>
      <c r="AH53" s="667">
        <v>0.02</v>
      </c>
      <c r="AI53" s="751">
        <v>23641.269999999997</v>
      </c>
      <c r="AJ53" s="667">
        <v>0.02</v>
      </c>
      <c r="AK53" s="751">
        <v>23641.269999999997</v>
      </c>
      <c r="AL53" s="667">
        <v>0.02</v>
      </c>
      <c r="AM53" s="751">
        <v>23641.269999999997</v>
      </c>
      <c r="AN53" s="667">
        <v>0.02</v>
      </c>
      <c r="AO53" s="751">
        <v>23641.269999999997</v>
      </c>
      <c r="AP53" s="667">
        <v>0.02</v>
      </c>
      <c r="AQ53" s="751">
        <v>48565.979999999996</v>
      </c>
      <c r="AR53" s="667">
        <v>0.05</v>
      </c>
    </row>
    <row r="54" spans="1:44" ht="32.25" thickBot="1">
      <c r="A54" s="133" t="s">
        <v>73</v>
      </c>
      <c r="B54" s="134" t="s">
        <v>53</v>
      </c>
      <c r="C54" s="751">
        <v>43289.38</v>
      </c>
      <c r="D54" s="667">
        <v>0.04</v>
      </c>
      <c r="E54" s="751">
        <v>43289.38</v>
      </c>
      <c r="F54" s="667">
        <v>0.04</v>
      </c>
      <c r="G54" s="751">
        <v>43289.38</v>
      </c>
      <c r="H54" s="667">
        <v>0.04</v>
      </c>
      <c r="I54" s="751">
        <v>43289.38</v>
      </c>
      <c r="J54" s="667">
        <v>0.04</v>
      </c>
      <c r="K54" s="751">
        <v>43289.38</v>
      </c>
      <c r="L54" s="667">
        <v>0.04</v>
      </c>
      <c r="M54" s="751">
        <v>43289.38</v>
      </c>
      <c r="N54" s="667">
        <v>0.04</v>
      </c>
      <c r="O54" s="751">
        <v>43289.38</v>
      </c>
      <c r="P54" s="667">
        <v>0.04</v>
      </c>
      <c r="Q54" s="751">
        <v>43289.38</v>
      </c>
      <c r="R54" s="667">
        <v>0.04</v>
      </c>
      <c r="S54" s="751">
        <v>43289.38</v>
      </c>
      <c r="T54" s="667">
        <v>0.04</v>
      </c>
      <c r="U54" s="751">
        <v>43289.38</v>
      </c>
      <c r="V54" s="667">
        <v>0.04</v>
      </c>
      <c r="W54" s="751">
        <v>43289.38</v>
      </c>
      <c r="X54" s="667">
        <v>0.04</v>
      </c>
      <c r="Y54" s="751">
        <v>43289.38</v>
      </c>
      <c r="Z54" s="667">
        <v>0.04</v>
      </c>
      <c r="AA54" s="751">
        <v>43289.38</v>
      </c>
      <c r="AB54" s="667">
        <v>0.04</v>
      </c>
      <c r="AC54" s="751">
        <v>43289.38</v>
      </c>
      <c r="AD54" s="667">
        <v>0.04</v>
      </c>
      <c r="AE54" s="751">
        <v>43289.38</v>
      </c>
      <c r="AF54" s="667">
        <v>0.04</v>
      </c>
      <c r="AG54" s="753"/>
      <c r="AH54" s="699"/>
      <c r="AI54" s="753"/>
      <c r="AJ54" s="699"/>
      <c r="AK54" s="753"/>
      <c r="AL54" s="699"/>
      <c r="AM54" s="753"/>
      <c r="AN54" s="699"/>
      <c r="AO54" s="753"/>
      <c r="AP54" s="699"/>
      <c r="AQ54" s="753">
        <v>46203.13</v>
      </c>
      <c r="AR54" s="699">
        <v>0.05</v>
      </c>
    </row>
    <row r="55" spans="1:44" ht="32.25" thickBot="1">
      <c r="A55" s="122" t="s">
        <v>54</v>
      </c>
      <c r="B55" s="123" t="s">
        <v>79</v>
      </c>
      <c r="C55" s="764">
        <v>2110.29</v>
      </c>
      <c r="D55" s="667"/>
      <c r="E55" s="764">
        <v>2110.29</v>
      </c>
      <c r="F55" s="667"/>
      <c r="G55" s="764">
        <v>2110.29</v>
      </c>
      <c r="H55" s="667"/>
      <c r="I55" s="764">
        <v>2110.29</v>
      </c>
      <c r="J55" s="667"/>
      <c r="K55" s="753"/>
      <c r="L55" s="699"/>
      <c r="M55" s="753"/>
      <c r="N55" s="699"/>
      <c r="O55" s="753"/>
      <c r="P55" s="699"/>
      <c r="Q55" s="753"/>
      <c r="R55" s="699"/>
      <c r="S55" s="753"/>
      <c r="T55" s="699"/>
      <c r="U55" s="753"/>
      <c r="V55" s="699"/>
      <c r="W55" s="753"/>
      <c r="X55" s="699"/>
      <c r="Y55" s="753"/>
      <c r="Z55" s="699"/>
      <c r="AA55" s="753"/>
      <c r="AB55" s="699"/>
      <c r="AC55" s="753"/>
      <c r="AD55" s="699"/>
      <c r="AE55" s="753"/>
      <c r="AF55" s="699"/>
      <c r="AG55" s="753"/>
      <c r="AH55" s="699"/>
      <c r="AI55" s="753"/>
      <c r="AJ55" s="699"/>
      <c r="AK55" s="753"/>
      <c r="AL55" s="699"/>
      <c r="AM55" s="753"/>
      <c r="AN55" s="699"/>
      <c r="AO55" s="753"/>
      <c r="AP55" s="699"/>
      <c r="AQ55" s="473">
        <v>2085.9899999999998</v>
      </c>
      <c r="AR55" s="699"/>
    </row>
    <row r="56" spans="1:44" ht="32.25" thickBot="1">
      <c r="A56" s="135" t="s">
        <v>55</v>
      </c>
      <c r="B56" s="223" t="s">
        <v>80</v>
      </c>
      <c r="C56" s="764">
        <v>860.78</v>
      </c>
      <c r="D56" s="667"/>
      <c r="E56" s="764">
        <v>860.78</v>
      </c>
      <c r="F56" s="667"/>
      <c r="G56" s="764">
        <v>860.78</v>
      </c>
      <c r="H56" s="667"/>
      <c r="I56" s="764">
        <v>860.78</v>
      </c>
      <c r="J56" s="667"/>
      <c r="K56" s="764">
        <v>860.78</v>
      </c>
      <c r="L56" s="667"/>
      <c r="M56" s="753"/>
      <c r="N56" s="699"/>
      <c r="O56" s="753"/>
      <c r="P56" s="699"/>
      <c r="Q56" s="753"/>
      <c r="R56" s="699"/>
      <c r="S56" s="753"/>
      <c r="T56" s="699"/>
      <c r="U56" s="753"/>
      <c r="V56" s="699"/>
      <c r="W56" s="753"/>
      <c r="X56" s="699"/>
      <c r="Y56" s="753"/>
      <c r="Z56" s="699"/>
      <c r="AA56" s="753"/>
      <c r="AB56" s="699"/>
      <c r="AC56" s="753"/>
      <c r="AD56" s="699"/>
      <c r="AE56" s="753"/>
      <c r="AF56" s="699"/>
      <c r="AG56" s="753"/>
      <c r="AH56" s="699"/>
      <c r="AI56" s="753"/>
      <c r="AJ56" s="699"/>
      <c r="AK56" s="753"/>
      <c r="AL56" s="699"/>
      <c r="AM56" s="753"/>
      <c r="AN56" s="699"/>
      <c r="AO56" s="753"/>
      <c r="AP56" s="699"/>
      <c r="AQ56" s="473">
        <v>860.78</v>
      </c>
      <c r="AR56" s="699"/>
    </row>
    <row r="57" spans="1:44" ht="16.5" thickBot="1">
      <c r="A57" s="221" t="s">
        <v>99</v>
      </c>
      <c r="B57" s="222"/>
      <c r="C57" s="620"/>
      <c r="D57" s="669"/>
      <c r="E57" s="620"/>
      <c r="F57" s="669"/>
      <c r="G57" s="620"/>
      <c r="H57" s="669"/>
      <c r="I57" s="620"/>
      <c r="J57" s="669"/>
      <c r="K57" s="620"/>
      <c r="L57" s="669"/>
      <c r="M57" s="620"/>
      <c r="N57" s="669"/>
      <c r="O57" s="620"/>
      <c r="P57" s="669"/>
      <c r="Q57" s="620"/>
      <c r="R57" s="669"/>
      <c r="S57" s="620"/>
      <c r="T57" s="669"/>
      <c r="U57" s="620"/>
      <c r="V57" s="669"/>
      <c r="W57" s="620"/>
      <c r="X57" s="669"/>
      <c r="Y57" s="620"/>
      <c r="Z57" s="669"/>
      <c r="AA57" s="620"/>
      <c r="AB57" s="669"/>
      <c r="AC57" s="620"/>
      <c r="AD57" s="669"/>
      <c r="AE57" s="620"/>
      <c r="AF57" s="669"/>
      <c r="AG57" s="620"/>
      <c r="AH57" s="669"/>
      <c r="AI57" s="620"/>
      <c r="AJ57" s="669"/>
      <c r="AK57" s="620"/>
      <c r="AL57" s="669"/>
      <c r="AM57" s="620"/>
      <c r="AN57" s="669"/>
      <c r="AO57" s="620"/>
      <c r="AP57" s="669"/>
      <c r="AQ57" s="620"/>
      <c r="AR57" s="669"/>
    </row>
    <row r="58" spans="1:44" ht="15">
      <c r="A58" s="1045" t="s">
        <v>103</v>
      </c>
      <c r="B58" s="1046" t="s">
        <v>103</v>
      </c>
      <c r="C58" s="473">
        <v>5152.1899999999996</v>
      </c>
      <c r="D58" s="736">
        <v>0</v>
      </c>
      <c r="E58" s="473">
        <v>7728.29</v>
      </c>
      <c r="F58" s="736">
        <v>0.01</v>
      </c>
      <c r="G58" s="473">
        <v>10304.379999999999</v>
      </c>
      <c r="H58" s="736">
        <v>0.01</v>
      </c>
      <c r="I58" s="473">
        <v>12880.48</v>
      </c>
      <c r="J58" s="736">
        <v>0.01</v>
      </c>
      <c r="K58" s="473">
        <v>15456.58</v>
      </c>
      <c r="L58" s="736">
        <v>0.01</v>
      </c>
      <c r="M58" s="473">
        <v>0</v>
      </c>
      <c r="N58" s="736">
        <v>0</v>
      </c>
      <c r="O58" s="473">
        <v>0</v>
      </c>
      <c r="P58" s="736">
        <v>0</v>
      </c>
      <c r="Q58" s="473">
        <v>0</v>
      </c>
      <c r="R58" s="736">
        <v>0</v>
      </c>
      <c r="S58" s="473">
        <v>0</v>
      </c>
      <c r="T58" s="736">
        <v>0</v>
      </c>
      <c r="U58" s="766">
        <v>1144.93</v>
      </c>
      <c r="V58" s="736">
        <v>0</v>
      </c>
      <c r="W58" s="473">
        <v>4579.7299999999996</v>
      </c>
      <c r="X58" s="736">
        <v>0</v>
      </c>
      <c r="Y58" s="473">
        <v>5724.66</v>
      </c>
      <c r="Z58" s="736">
        <v>0</v>
      </c>
      <c r="AA58" s="473">
        <v>6869.59</v>
      </c>
      <c r="AB58" s="736">
        <v>0.01</v>
      </c>
      <c r="AC58" s="473">
        <v>8014.52</v>
      </c>
      <c r="AD58" s="736">
        <v>0.01</v>
      </c>
      <c r="AE58" s="473">
        <v>9159.4500000000007</v>
      </c>
      <c r="AF58" s="736">
        <v>0.01</v>
      </c>
      <c r="AG58" s="473">
        <v>12594.25</v>
      </c>
      <c r="AH58" s="736">
        <v>0.01</v>
      </c>
      <c r="AI58" s="473">
        <v>13739.18</v>
      </c>
      <c r="AJ58" s="736">
        <v>0.01</v>
      </c>
      <c r="AK58" s="473">
        <v>14884.11</v>
      </c>
      <c r="AL58" s="736">
        <v>0.01</v>
      </c>
      <c r="AM58" s="473">
        <v>16029.04</v>
      </c>
      <c r="AN58" s="736">
        <v>0.02</v>
      </c>
      <c r="AO58" s="473">
        <v>17173.97</v>
      </c>
      <c r="AP58" s="736">
        <v>0.02</v>
      </c>
      <c r="AQ58" s="473">
        <v>20608.77</v>
      </c>
      <c r="AR58" s="736">
        <v>0.02</v>
      </c>
    </row>
    <row r="59" spans="1:44" ht="15">
      <c r="A59" s="785"/>
      <c r="B59" s="786"/>
      <c r="C59" s="473"/>
      <c r="D59" s="736"/>
      <c r="E59" s="473"/>
      <c r="F59" s="736"/>
      <c r="G59" s="473"/>
      <c r="H59" s="736"/>
      <c r="I59" s="473"/>
      <c r="J59" s="736"/>
      <c r="K59" s="473"/>
      <c r="L59" s="736"/>
      <c r="M59" s="473"/>
      <c r="N59" s="736"/>
      <c r="O59" s="473"/>
      <c r="P59" s="736"/>
      <c r="Q59" s="473"/>
      <c r="R59" s="736"/>
      <c r="S59" s="473"/>
      <c r="T59" s="736"/>
      <c r="U59" s="766"/>
      <c r="V59" s="736"/>
      <c r="W59" s="473"/>
      <c r="X59" s="736"/>
      <c r="Y59" s="473"/>
      <c r="Z59" s="736"/>
      <c r="AA59" s="473"/>
      <c r="AB59" s="736"/>
      <c r="AC59" s="473">
        <v>0</v>
      </c>
      <c r="AD59" s="736">
        <v>0</v>
      </c>
      <c r="AE59" s="549">
        <v>858.7</v>
      </c>
      <c r="AF59" s="736">
        <v>0</v>
      </c>
      <c r="AG59" s="473">
        <v>3434.79</v>
      </c>
      <c r="AH59" s="736">
        <v>0</v>
      </c>
      <c r="AI59" s="473">
        <v>4293.49</v>
      </c>
      <c r="AJ59" s="736">
        <v>0</v>
      </c>
      <c r="AK59" s="473">
        <v>5152.1899999999996</v>
      </c>
      <c r="AL59" s="736">
        <v>0</v>
      </c>
      <c r="AM59" s="473">
        <v>6010.89</v>
      </c>
      <c r="AN59" s="736">
        <v>0.01</v>
      </c>
      <c r="AO59" s="473">
        <v>6869.59</v>
      </c>
      <c r="AP59" s="736">
        <v>0.01</v>
      </c>
      <c r="AQ59" s="473">
        <v>9445.68</v>
      </c>
      <c r="AR59" s="736">
        <v>0.01</v>
      </c>
    </row>
    <row r="60" spans="1:44" ht="15">
      <c r="A60" s="777" t="s">
        <v>39</v>
      </c>
      <c r="B60" s="778" t="s">
        <v>39</v>
      </c>
      <c r="C60" s="473">
        <v>84561.37</v>
      </c>
      <c r="D60" s="736">
        <v>0.08</v>
      </c>
      <c r="E60" s="473">
        <v>85297.4</v>
      </c>
      <c r="F60" s="736">
        <v>0.08</v>
      </c>
      <c r="G60" s="473">
        <v>86033.43</v>
      </c>
      <c r="H60" s="736">
        <v>0.08</v>
      </c>
      <c r="I60" s="473">
        <v>86769.45</v>
      </c>
      <c r="J60" s="736">
        <v>0.08</v>
      </c>
      <c r="K60" s="473">
        <v>87505.48</v>
      </c>
      <c r="L60" s="736">
        <v>0.08</v>
      </c>
      <c r="M60" s="473">
        <v>89713.56</v>
      </c>
      <c r="N60" s="736">
        <v>0.09</v>
      </c>
      <c r="O60" s="473">
        <v>90449.59</v>
      </c>
      <c r="P60" s="736">
        <v>0.09</v>
      </c>
      <c r="Q60" s="473">
        <v>91185.62</v>
      </c>
      <c r="R60" s="736">
        <v>0.09</v>
      </c>
      <c r="S60" s="473">
        <v>91921.65</v>
      </c>
      <c r="T60" s="736">
        <v>0.09</v>
      </c>
      <c r="U60" s="511">
        <v>92657.67</v>
      </c>
      <c r="V60" s="736">
        <v>0.09</v>
      </c>
      <c r="W60" s="473">
        <v>94865.76</v>
      </c>
      <c r="X60" s="736">
        <v>0.09</v>
      </c>
      <c r="Y60" s="473">
        <v>95601.78</v>
      </c>
      <c r="Z60" s="736">
        <v>0.09</v>
      </c>
      <c r="AA60" s="473">
        <v>96337.81</v>
      </c>
      <c r="AB60" s="736">
        <v>0.09</v>
      </c>
      <c r="AC60" s="473">
        <v>97073.84</v>
      </c>
      <c r="AD60" s="736">
        <v>0.09</v>
      </c>
      <c r="AE60" s="473">
        <v>97809.86</v>
      </c>
      <c r="AF60" s="736">
        <v>0.09</v>
      </c>
      <c r="AG60" s="473">
        <v>100017.95</v>
      </c>
      <c r="AH60" s="736">
        <v>0.1</v>
      </c>
      <c r="AI60" s="473">
        <v>100753.97</v>
      </c>
      <c r="AJ60" s="736">
        <v>0.1</v>
      </c>
      <c r="AK60" s="473">
        <v>101490</v>
      </c>
      <c r="AL60" s="736">
        <v>0.1</v>
      </c>
      <c r="AM60" s="473">
        <v>102226.03</v>
      </c>
      <c r="AN60" s="736">
        <v>0.1</v>
      </c>
      <c r="AO60" s="473">
        <v>102962.06</v>
      </c>
      <c r="AP60" s="736">
        <v>0.1</v>
      </c>
      <c r="AQ60" s="473">
        <v>105170.14</v>
      </c>
      <c r="AR60" s="736">
        <v>0.1</v>
      </c>
    </row>
    <row r="61" spans="1:44" ht="15" customHeight="1">
      <c r="A61" s="779" t="s">
        <v>95</v>
      </c>
      <c r="B61" s="780" t="s">
        <v>95</v>
      </c>
      <c r="C61" s="536">
        <v>1669.69</v>
      </c>
      <c r="D61" s="737">
        <v>0</v>
      </c>
      <c r="E61" s="536">
        <v>3339.38</v>
      </c>
      <c r="F61" s="737">
        <v>0</v>
      </c>
      <c r="G61" s="536">
        <v>5009.08</v>
      </c>
      <c r="H61" s="737">
        <v>0</v>
      </c>
      <c r="I61" s="536">
        <v>6678.77</v>
      </c>
      <c r="J61" s="737">
        <v>0.01</v>
      </c>
      <c r="K61" s="536">
        <v>8348.4599999999991</v>
      </c>
      <c r="L61" s="737">
        <v>0.01</v>
      </c>
      <c r="M61" s="536">
        <v>13357.53</v>
      </c>
      <c r="N61" s="737">
        <v>0.01</v>
      </c>
      <c r="O61" s="536">
        <v>15027.23</v>
      </c>
      <c r="P61" s="737">
        <v>0.01</v>
      </c>
      <c r="Q61" s="536">
        <v>16696.919999999998</v>
      </c>
      <c r="R61" s="737">
        <v>0.02</v>
      </c>
      <c r="S61" s="536">
        <v>18366.61</v>
      </c>
      <c r="T61" s="737">
        <v>0.02</v>
      </c>
      <c r="U61" s="511">
        <v>20036.3</v>
      </c>
      <c r="V61" s="737">
        <v>0.02</v>
      </c>
      <c r="W61" s="536">
        <v>25045.38</v>
      </c>
      <c r="X61" s="737">
        <v>0.02</v>
      </c>
      <c r="Y61" s="536">
        <v>26715.07</v>
      </c>
      <c r="Z61" s="737">
        <v>0.02</v>
      </c>
      <c r="AA61" s="536">
        <v>28384.76</v>
      </c>
      <c r="AB61" s="737">
        <v>0.03</v>
      </c>
      <c r="AC61" s="536">
        <v>30054.45</v>
      </c>
      <c r="AD61" s="737">
        <v>0.03</v>
      </c>
      <c r="AE61" s="536">
        <v>31724.14</v>
      </c>
      <c r="AF61" s="737">
        <v>0.03</v>
      </c>
      <c r="AG61" s="536">
        <v>36733.22</v>
      </c>
      <c r="AH61" s="737">
        <v>0.04</v>
      </c>
      <c r="AI61" s="536">
        <v>38402.910000000003</v>
      </c>
      <c r="AJ61" s="737">
        <v>0.04</v>
      </c>
      <c r="AK61" s="536">
        <v>40072.6</v>
      </c>
      <c r="AL61" s="737">
        <v>0.04</v>
      </c>
      <c r="AM61" s="536">
        <v>41742.29</v>
      </c>
      <c r="AN61" s="737">
        <v>0.04</v>
      </c>
      <c r="AO61" s="536">
        <v>43411.99</v>
      </c>
      <c r="AP61" s="737">
        <v>0.04</v>
      </c>
      <c r="AQ61" s="511">
        <v>48421.06</v>
      </c>
      <c r="AR61" s="737">
        <v>0.05</v>
      </c>
    </row>
    <row r="62" spans="1:44" ht="15" customHeight="1">
      <c r="A62" s="779"/>
      <c r="B62" s="780"/>
      <c r="C62" s="536"/>
      <c r="D62" s="737"/>
      <c r="E62" s="536"/>
      <c r="F62" s="737"/>
      <c r="G62" s="536"/>
      <c r="H62" s="737"/>
      <c r="I62" s="536"/>
      <c r="J62" s="737"/>
      <c r="K62" s="536"/>
      <c r="L62" s="737"/>
      <c r="M62" s="536"/>
      <c r="N62" s="737"/>
      <c r="O62" s="536"/>
      <c r="P62" s="737"/>
      <c r="Q62" s="536"/>
      <c r="R62" s="737"/>
      <c r="S62" s="536"/>
      <c r="T62" s="737"/>
      <c r="U62" s="511"/>
      <c r="V62" s="737"/>
      <c r="W62" s="536"/>
      <c r="X62" s="737"/>
      <c r="Y62" s="536"/>
      <c r="Z62" s="737"/>
      <c r="AA62" s="536"/>
      <c r="AB62" s="737"/>
      <c r="AC62" s="536">
        <v>0</v>
      </c>
      <c r="AD62" s="737">
        <v>0</v>
      </c>
      <c r="AE62" s="552">
        <v>531.58000000000004</v>
      </c>
      <c r="AF62" s="737">
        <v>0</v>
      </c>
      <c r="AG62" s="536">
        <v>2126.3000000000002</v>
      </c>
      <c r="AH62" s="737">
        <v>0</v>
      </c>
      <c r="AI62" s="536">
        <v>2657.88</v>
      </c>
      <c r="AJ62" s="737">
        <v>0</v>
      </c>
      <c r="AK62" s="536">
        <v>3189.45</v>
      </c>
      <c r="AL62" s="737">
        <v>0</v>
      </c>
      <c r="AM62" s="536">
        <v>3721.03</v>
      </c>
      <c r="AN62" s="737">
        <v>0</v>
      </c>
      <c r="AO62" s="536">
        <v>4252.6000000000004</v>
      </c>
      <c r="AP62" s="737">
        <v>0</v>
      </c>
      <c r="AQ62" s="536">
        <v>5847.33</v>
      </c>
      <c r="AR62" s="737">
        <v>0.01</v>
      </c>
    </row>
    <row r="63" spans="1:44" ht="15" customHeight="1">
      <c r="A63" s="1040" t="s">
        <v>126</v>
      </c>
      <c r="B63" s="1041"/>
      <c r="C63" s="536">
        <v>121714.4</v>
      </c>
      <c r="D63" s="737">
        <v>0.12</v>
      </c>
      <c r="E63" s="536">
        <v>123198.72</v>
      </c>
      <c r="F63" s="737">
        <v>0.12</v>
      </c>
      <c r="G63" s="536">
        <v>124683.04</v>
      </c>
      <c r="H63" s="737">
        <v>0.12</v>
      </c>
      <c r="I63" s="536">
        <v>126167.36</v>
      </c>
      <c r="J63" s="737">
        <v>0.12</v>
      </c>
      <c r="K63" s="536">
        <v>127651.68</v>
      </c>
      <c r="L63" s="737">
        <v>0.12</v>
      </c>
      <c r="M63" s="536">
        <v>132104.65</v>
      </c>
      <c r="N63" s="737">
        <v>0.13</v>
      </c>
      <c r="O63" s="536">
        <v>133588.97</v>
      </c>
      <c r="P63" s="737">
        <v>0.13</v>
      </c>
      <c r="Q63" s="536">
        <v>135073.29</v>
      </c>
      <c r="R63" s="737">
        <v>0.13</v>
      </c>
      <c r="S63" s="536">
        <v>136557.62</v>
      </c>
      <c r="T63" s="737">
        <v>0.13</v>
      </c>
      <c r="U63" s="511">
        <v>138041.94</v>
      </c>
      <c r="V63" s="737">
        <v>0.13</v>
      </c>
      <c r="W63" s="536">
        <v>142494.9</v>
      </c>
      <c r="X63" s="737">
        <v>0.14000000000000001</v>
      </c>
      <c r="Y63" s="536">
        <v>143979.23000000001</v>
      </c>
      <c r="Z63" s="737">
        <v>0.14000000000000001</v>
      </c>
      <c r="AA63" s="536">
        <v>145463.54999999999</v>
      </c>
      <c r="AB63" s="737">
        <v>0.14000000000000001</v>
      </c>
      <c r="AC63" s="536">
        <v>146947.87</v>
      </c>
      <c r="AD63" s="737">
        <v>0.14000000000000001</v>
      </c>
      <c r="AE63" s="536">
        <v>148432.19</v>
      </c>
      <c r="AF63" s="737">
        <v>0.14000000000000001</v>
      </c>
      <c r="AG63" s="536">
        <v>152885.16</v>
      </c>
      <c r="AH63" s="737">
        <v>0.15</v>
      </c>
      <c r="AI63" s="536">
        <v>154369.48000000001</v>
      </c>
      <c r="AJ63" s="737">
        <v>0.15</v>
      </c>
      <c r="AK63" s="536">
        <v>155853.79999999999</v>
      </c>
      <c r="AL63" s="737">
        <v>0.15</v>
      </c>
      <c r="AM63" s="536">
        <v>157338.12</v>
      </c>
      <c r="AN63" s="737">
        <v>0.15</v>
      </c>
      <c r="AO63" s="536">
        <v>158822.45000000001</v>
      </c>
      <c r="AP63" s="737">
        <v>0.15</v>
      </c>
      <c r="AQ63" s="536">
        <v>163275.41</v>
      </c>
      <c r="AR63" s="737">
        <v>0.16</v>
      </c>
    </row>
    <row r="64" spans="1:44" ht="15" customHeight="1">
      <c r="A64" s="1040" t="s">
        <v>126</v>
      </c>
      <c r="B64" s="1041"/>
      <c r="C64" s="536">
        <v>2044.52</v>
      </c>
      <c r="D64" s="737">
        <v>0</v>
      </c>
      <c r="E64" s="536">
        <v>2385.27</v>
      </c>
      <c r="F64" s="737">
        <v>0</v>
      </c>
      <c r="G64" s="536">
        <v>2726.03</v>
      </c>
      <c r="H64" s="737">
        <v>0</v>
      </c>
      <c r="I64" s="536">
        <v>3066.78</v>
      </c>
      <c r="J64" s="737">
        <v>0</v>
      </c>
      <c r="K64" s="536">
        <v>3407.53</v>
      </c>
      <c r="L64" s="737">
        <v>0</v>
      </c>
      <c r="M64" s="536">
        <v>4429.79</v>
      </c>
      <c r="N64" s="737">
        <v>0.01</v>
      </c>
      <c r="O64" s="536">
        <v>4770.55</v>
      </c>
      <c r="P64" s="737">
        <v>0.01</v>
      </c>
      <c r="Q64" s="536">
        <v>5111.3</v>
      </c>
      <c r="R64" s="737">
        <v>0.01</v>
      </c>
      <c r="S64" s="536">
        <v>5452.05</v>
      </c>
      <c r="T64" s="737">
        <v>0.01</v>
      </c>
      <c r="U64" s="511">
        <v>5792.81</v>
      </c>
      <c r="V64" s="737">
        <v>0.01</v>
      </c>
      <c r="W64" s="536">
        <v>6815.07</v>
      </c>
      <c r="X64" s="737">
        <v>0.01</v>
      </c>
      <c r="Y64" s="536">
        <v>7155.82</v>
      </c>
      <c r="Z64" s="737">
        <v>0.01</v>
      </c>
      <c r="AA64" s="536">
        <v>7496.58</v>
      </c>
      <c r="AB64" s="737">
        <v>0.01</v>
      </c>
      <c r="AC64" s="536">
        <v>7837.33</v>
      </c>
      <c r="AD64" s="737">
        <v>0.01</v>
      </c>
      <c r="AE64" s="536">
        <v>8178.08</v>
      </c>
      <c r="AF64" s="737">
        <v>0.01</v>
      </c>
      <c r="AG64" s="536">
        <v>9200.34</v>
      </c>
      <c r="AH64" s="737">
        <v>0.01</v>
      </c>
      <c r="AI64" s="536">
        <v>9541.1</v>
      </c>
      <c r="AJ64" s="737">
        <v>0.01</v>
      </c>
      <c r="AK64" s="536">
        <v>9881.85</v>
      </c>
      <c r="AL64" s="737">
        <v>0.01</v>
      </c>
      <c r="AM64" s="536">
        <v>10222.6</v>
      </c>
      <c r="AN64" s="737">
        <v>0.01</v>
      </c>
      <c r="AO64" s="536">
        <v>340.75</v>
      </c>
      <c r="AP64" s="737">
        <v>0</v>
      </c>
      <c r="AQ64" s="536">
        <v>1363.01</v>
      </c>
      <c r="AR64" s="737">
        <v>0</v>
      </c>
    </row>
    <row r="65" spans="1:44" ht="15">
      <c r="A65" s="783"/>
      <c r="B65" s="784"/>
      <c r="C65" s="536"/>
      <c r="D65" s="737"/>
      <c r="E65" s="536"/>
      <c r="F65" s="737"/>
      <c r="G65" s="536"/>
      <c r="H65" s="737"/>
      <c r="I65" s="536"/>
      <c r="J65" s="737"/>
      <c r="K65" s="536"/>
      <c r="L65" s="737"/>
      <c r="M65" s="536"/>
      <c r="N65" s="737"/>
      <c r="O65" s="536"/>
      <c r="P65" s="737"/>
      <c r="Q65" s="536"/>
      <c r="R65" s="737"/>
      <c r="S65" s="536"/>
      <c r="T65" s="737"/>
      <c r="U65" s="511"/>
      <c r="V65" s="737"/>
      <c r="W65" s="536"/>
      <c r="X65" s="737"/>
      <c r="Y65" s="536"/>
      <c r="Z65" s="737"/>
      <c r="AA65" s="536"/>
      <c r="AB65" s="737"/>
      <c r="AC65" s="552">
        <v>338.03</v>
      </c>
      <c r="AD65" s="737">
        <v>0</v>
      </c>
      <c r="AE65" s="536">
        <v>676.05</v>
      </c>
      <c r="AF65" s="737">
        <v>0</v>
      </c>
      <c r="AG65" s="536">
        <v>1690.14</v>
      </c>
      <c r="AH65" s="737">
        <v>0</v>
      </c>
      <c r="AI65" s="536">
        <v>2028.16</v>
      </c>
      <c r="AJ65" s="737">
        <v>0</v>
      </c>
      <c r="AK65" s="536">
        <v>2366.19</v>
      </c>
      <c r="AL65" s="737">
        <v>0</v>
      </c>
      <c r="AM65" s="536">
        <v>2704.22</v>
      </c>
      <c r="AN65" s="737">
        <v>0</v>
      </c>
      <c r="AO65" s="536">
        <v>3042.25</v>
      </c>
      <c r="AP65" s="737">
        <v>0</v>
      </c>
      <c r="AQ65" s="536">
        <v>4056.33</v>
      </c>
      <c r="AR65" s="737">
        <v>0</v>
      </c>
    </row>
    <row r="66" spans="1:44" ht="15" customHeight="1">
      <c r="A66" s="1042" t="s">
        <v>58</v>
      </c>
      <c r="B66" s="1043"/>
      <c r="C66" s="536">
        <v>209.03</v>
      </c>
      <c r="D66" s="737">
        <v>0</v>
      </c>
      <c r="E66" s="536">
        <v>313.55</v>
      </c>
      <c r="F66" s="737">
        <v>0</v>
      </c>
      <c r="G66" s="536">
        <v>391.73</v>
      </c>
      <c r="H66" s="737">
        <v>0</v>
      </c>
      <c r="I66" s="536">
        <v>469.91</v>
      </c>
      <c r="J66" s="737">
        <v>0</v>
      </c>
      <c r="K66" s="536">
        <v>548.1</v>
      </c>
      <c r="L66" s="737">
        <v>0</v>
      </c>
      <c r="M66" s="536">
        <v>782.64</v>
      </c>
      <c r="N66" s="737">
        <v>0</v>
      </c>
      <c r="O66" s="536">
        <v>860.83</v>
      </c>
      <c r="P66" s="737">
        <v>0</v>
      </c>
      <c r="Q66" s="536">
        <v>939.01</v>
      </c>
      <c r="R66" s="737">
        <v>0</v>
      </c>
      <c r="S66" s="536">
        <v>1017.19</v>
      </c>
      <c r="T66" s="737">
        <v>0</v>
      </c>
      <c r="U66" s="511">
        <v>1501.82</v>
      </c>
      <c r="V66" s="737">
        <v>0</v>
      </c>
      <c r="W66" s="536">
        <v>2955.72</v>
      </c>
      <c r="X66" s="737">
        <v>0</v>
      </c>
      <c r="Y66" s="536">
        <v>3440.36</v>
      </c>
      <c r="Z66" s="737">
        <v>0</v>
      </c>
      <c r="AA66" s="536">
        <v>3840.76</v>
      </c>
      <c r="AB66" s="737">
        <v>0</v>
      </c>
      <c r="AC66" s="536">
        <v>3873.15</v>
      </c>
      <c r="AD66" s="737">
        <v>0</v>
      </c>
      <c r="AE66" s="536">
        <v>3905.53</v>
      </c>
      <c r="AF66" s="737">
        <v>0</v>
      </c>
      <c r="AG66" s="536">
        <v>4002.69</v>
      </c>
      <c r="AH66" s="737">
        <v>0</v>
      </c>
      <c r="AI66" s="536">
        <v>4035.07</v>
      </c>
      <c r="AJ66" s="737">
        <v>0</v>
      </c>
      <c r="AK66" s="536">
        <v>4109.9799999999996</v>
      </c>
      <c r="AL66" s="737">
        <v>0</v>
      </c>
      <c r="AM66" s="536">
        <v>4184.3999999999996</v>
      </c>
      <c r="AN66" s="737">
        <v>0</v>
      </c>
      <c r="AO66" s="536">
        <v>4258.82</v>
      </c>
      <c r="AP66" s="737">
        <v>0</v>
      </c>
      <c r="AQ66" s="536">
        <v>4482.08</v>
      </c>
      <c r="AR66" s="737">
        <v>0</v>
      </c>
    </row>
    <row r="67" spans="1:44" s="459" customFormat="1">
      <c r="A67" s="458" t="s">
        <v>120</v>
      </c>
      <c r="B67" s="424" t="s">
        <v>105</v>
      </c>
      <c r="C67" s="753"/>
      <c r="D67" s="699"/>
      <c r="E67" s="753"/>
      <c r="F67" s="699"/>
      <c r="G67" s="753"/>
      <c r="H67" s="699"/>
      <c r="I67" s="753"/>
      <c r="J67" s="699"/>
      <c r="K67" s="753"/>
      <c r="L67" s="699"/>
      <c r="M67" s="753"/>
      <c r="N67" s="699"/>
      <c r="O67" s="753"/>
      <c r="P67" s="699"/>
      <c r="Q67" s="753"/>
      <c r="R67" s="699"/>
      <c r="S67" s="753"/>
      <c r="T67" s="699"/>
      <c r="U67" s="753"/>
      <c r="V67" s="699"/>
      <c r="W67" s="753"/>
      <c r="X67" s="699"/>
      <c r="Y67" s="753"/>
      <c r="Z67" s="699"/>
      <c r="AA67" s="699"/>
      <c r="AB67" s="699"/>
      <c r="AC67" s="699"/>
      <c r="AD67" s="699"/>
      <c r="AE67" s="699"/>
      <c r="AF67" s="699"/>
      <c r="AG67" s="699"/>
      <c r="AH67" s="699"/>
      <c r="AI67" s="699"/>
      <c r="AJ67" s="699"/>
      <c r="AK67" s="699"/>
      <c r="AL67" s="699"/>
      <c r="AM67" s="549">
        <v>960</v>
      </c>
      <c r="AN67" s="699"/>
      <c r="AO67" s="549">
        <v>960</v>
      </c>
      <c r="AP67" s="699"/>
      <c r="AQ67" s="549">
        <v>960</v>
      </c>
      <c r="AR67" s="699"/>
    </row>
    <row r="68" spans="1:44" s="459" customFormat="1">
      <c r="A68" s="543" t="s">
        <v>132</v>
      </c>
      <c r="B68" s="544"/>
      <c r="C68" s="753"/>
      <c r="D68" s="699"/>
      <c r="E68" s="753"/>
      <c r="F68" s="699"/>
      <c r="G68" s="753"/>
      <c r="H68" s="699"/>
      <c r="I68" s="753"/>
      <c r="J68" s="699"/>
      <c r="K68" s="753"/>
      <c r="L68" s="699"/>
      <c r="M68" s="753"/>
      <c r="N68" s="699"/>
      <c r="O68" s="753"/>
      <c r="P68" s="699"/>
      <c r="Q68" s="753"/>
      <c r="R68" s="699"/>
      <c r="S68" s="753"/>
      <c r="T68" s="699"/>
      <c r="U68" s="753"/>
      <c r="V68" s="699"/>
      <c r="W68" s="753"/>
      <c r="X68" s="699"/>
      <c r="Y68" s="753"/>
      <c r="Z68" s="699"/>
      <c r="AA68" s="753"/>
      <c r="AB68" s="699"/>
      <c r="AC68" s="753"/>
      <c r="AD68" s="699"/>
      <c r="AE68" s="790">
        <v>100950.43</v>
      </c>
      <c r="AF68" s="699">
        <v>0.1</v>
      </c>
      <c r="AG68" s="754"/>
      <c r="AH68" s="699"/>
      <c r="AI68" s="754"/>
      <c r="AJ68" s="699"/>
      <c r="AK68" s="754"/>
      <c r="AL68" s="699"/>
      <c r="AM68" s="754"/>
      <c r="AN68" s="699"/>
      <c r="AO68" s="754"/>
      <c r="AP68" s="699"/>
      <c r="AQ68" s="754"/>
      <c r="AR68" s="699"/>
    </row>
    <row r="69" spans="1:44" s="459" customFormat="1" ht="15">
      <c r="A69" s="1032" t="s">
        <v>39</v>
      </c>
      <c r="B69" s="1044" t="s">
        <v>39</v>
      </c>
      <c r="C69" s="754"/>
      <c r="D69" s="699"/>
      <c r="E69" s="754"/>
      <c r="F69" s="699"/>
      <c r="G69" s="754"/>
      <c r="H69" s="699"/>
      <c r="I69" s="754"/>
      <c r="J69" s="699"/>
      <c r="K69" s="754"/>
      <c r="L69" s="699"/>
      <c r="M69" s="754"/>
      <c r="N69" s="699"/>
      <c r="O69" s="754"/>
      <c r="P69" s="699"/>
      <c r="Q69" s="754"/>
      <c r="R69" s="699"/>
      <c r="S69" s="754"/>
      <c r="T69" s="699"/>
      <c r="U69" s="754"/>
      <c r="V69" s="699"/>
      <c r="W69" s="754"/>
      <c r="X69" s="699"/>
      <c r="Y69" s="754"/>
      <c r="Z69" s="699"/>
      <c r="AA69" s="754"/>
      <c r="AB69" s="699"/>
      <c r="AC69" s="754"/>
      <c r="AD69" s="699"/>
      <c r="AE69" s="754"/>
      <c r="AF69" s="699"/>
      <c r="AG69" s="754"/>
      <c r="AH69" s="699"/>
      <c r="AI69" s="754"/>
      <c r="AJ69" s="699"/>
      <c r="AK69" s="754"/>
      <c r="AL69" s="699"/>
      <c r="AM69" s="754"/>
      <c r="AN69" s="699"/>
      <c r="AO69" s="754"/>
      <c r="AP69" s="699"/>
      <c r="AQ69" s="754"/>
      <c r="AR69" s="699"/>
    </row>
    <row r="70" spans="1:44" ht="16.5" thickBot="1">
      <c r="A70" s="1018"/>
      <c r="B70" s="1019"/>
      <c r="C70" s="626">
        <f t="shared" ref="C70:D70" si="83">SUM(C39:C69)</f>
        <v>4752061.5000000009</v>
      </c>
      <c r="D70" s="684">
        <f t="shared" si="83"/>
        <v>4.5499999999999989</v>
      </c>
      <c r="E70" s="626">
        <f t="shared" ref="E70:F70" si="84">SUM(E39:E69)</f>
        <v>4754508.97</v>
      </c>
      <c r="F70" s="684">
        <f t="shared" si="84"/>
        <v>4.5499999999999989</v>
      </c>
      <c r="G70" s="626">
        <f t="shared" ref="G70:H70" si="85">SUM(G39:G69)</f>
        <v>4758754.4099999992</v>
      </c>
      <c r="H70" s="684">
        <f t="shared" si="85"/>
        <v>4.5799999999999992</v>
      </c>
      <c r="I70" s="626">
        <f t="shared" ref="I70:J70" si="86">SUM(I39:I69)</f>
        <v>4741349.49</v>
      </c>
      <c r="J70" s="684">
        <f t="shared" si="86"/>
        <v>4.5699999999999994</v>
      </c>
      <c r="K70" s="626">
        <f t="shared" ref="K70:L70" si="87">SUM(K39:K69)</f>
        <v>4742289.6599999992</v>
      </c>
      <c r="L70" s="684">
        <f t="shared" si="87"/>
        <v>4.5499999999999989</v>
      </c>
      <c r="M70" s="626">
        <f t="shared" ref="M70:N70" si="88">SUM(M39:M69)</f>
        <v>4725294.21</v>
      </c>
      <c r="N70" s="684">
        <f t="shared" si="88"/>
        <v>4.5499999999999989</v>
      </c>
      <c r="O70" s="626">
        <f t="shared" ref="O70:P70" si="89">SUM(O39:O69)</f>
        <v>4724839.29</v>
      </c>
      <c r="P70" s="684">
        <f t="shared" si="89"/>
        <v>4.5499999999999989</v>
      </c>
      <c r="Q70" s="626">
        <f t="shared" ref="Q70:R70" si="90">SUM(Q39:Q69)</f>
        <v>4728412.1399999987</v>
      </c>
      <c r="R70" s="684">
        <f t="shared" si="90"/>
        <v>4.5499999999999989</v>
      </c>
      <c r="S70" s="626">
        <f t="shared" ref="S70:T70" si="91">SUM(S39:S69)</f>
        <v>4727957.1800000006</v>
      </c>
      <c r="T70" s="684">
        <f t="shared" si="91"/>
        <v>4.5499999999999989</v>
      </c>
      <c r="U70" s="626">
        <f t="shared" ref="U70:V70" si="92">SUM(U39:U69)</f>
        <v>4729053.5999999996</v>
      </c>
      <c r="V70" s="684">
        <f t="shared" si="92"/>
        <v>4.5499999999999989</v>
      </c>
      <c r="W70" s="626">
        <f t="shared" ref="W70:X70" si="93">SUM(W39:W69)</f>
        <v>4729669.55</v>
      </c>
      <c r="X70" s="684">
        <f t="shared" si="93"/>
        <v>4.549999999999998</v>
      </c>
      <c r="Y70" s="626">
        <f t="shared" ref="Y70:Z70" si="94">SUM(Y39:Y69)</f>
        <v>4730765.9800000014</v>
      </c>
      <c r="Z70" s="684">
        <f t="shared" si="94"/>
        <v>4.5399999999999983</v>
      </c>
      <c r="AA70" s="626">
        <f t="shared" ref="AA70:AB70" si="95">SUM(AA39:AA69)</f>
        <v>4731778.1499999985</v>
      </c>
      <c r="AB70" s="684">
        <f t="shared" si="95"/>
        <v>4.5499999999999989</v>
      </c>
      <c r="AC70" s="626">
        <f t="shared" ref="AC70:AD70" si="96">SUM(AC39:AC69)</f>
        <v>4870410.38</v>
      </c>
      <c r="AD70" s="684">
        <f t="shared" si="96"/>
        <v>4.6899999999999986</v>
      </c>
      <c r="AE70" s="626">
        <f t="shared" ref="AE70:AF70" si="97">SUM(AE39:AE69)</f>
        <v>4973733.2700000005</v>
      </c>
      <c r="AF70" s="684">
        <f t="shared" si="97"/>
        <v>4.7799999999999985</v>
      </c>
      <c r="AG70" s="626">
        <f t="shared" ref="AG70:AH70" si="98">SUM(AG39:AG69)</f>
        <v>4836610.8999999994</v>
      </c>
      <c r="AH70" s="684">
        <f t="shared" si="98"/>
        <v>4.6499999999999995</v>
      </c>
      <c r="AI70" s="626">
        <f t="shared" ref="AI70:AJ70" si="99">SUM(AI39:AI69)</f>
        <v>4844318.3599999994</v>
      </c>
      <c r="AJ70" s="684">
        <f t="shared" si="99"/>
        <v>4.6499999999999986</v>
      </c>
      <c r="AK70" s="626">
        <f t="shared" ref="AK70:AL70" si="100">SUM(AK39:AK69)</f>
        <v>4846733.37</v>
      </c>
      <c r="AL70" s="684">
        <f t="shared" si="100"/>
        <v>4.6499999999999986</v>
      </c>
      <c r="AM70" s="626">
        <f t="shared" ref="AM70:AN70" si="101">SUM(AM39:AM69)</f>
        <v>4850833.3499999996</v>
      </c>
      <c r="AN70" s="684">
        <f t="shared" si="101"/>
        <v>4.6699999999999982</v>
      </c>
      <c r="AO70" s="626">
        <f t="shared" ref="AO70:AP70" si="102">SUM(AO39:AO69)</f>
        <v>4842899.0599999996</v>
      </c>
      <c r="AP70" s="684">
        <f t="shared" si="102"/>
        <v>4.6499999999999986</v>
      </c>
      <c r="AQ70" s="626">
        <f t="shared" ref="AQ70:AR70" si="103">SUM(AQ39:AQ69)</f>
        <v>4929811.47</v>
      </c>
      <c r="AR70" s="684">
        <f t="shared" si="103"/>
        <v>4.719999999999998</v>
      </c>
    </row>
    <row r="71" spans="1:44">
      <c r="B71" s="142" t="s">
        <v>59</v>
      </c>
      <c r="C71" s="627">
        <f>C9+C15+C18</f>
        <v>66834402.950000003</v>
      </c>
      <c r="D71" s="686">
        <f>D9+D15</f>
        <v>62.26</v>
      </c>
      <c r="E71" s="627">
        <f>E9+E15+E18</f>
        <v>66919999.950000003</v>
      </c>
      <c r="F71" s="686">
        <f>F9+F15</f>
        <v>62.31</v>
      </c>
      <c r="G71" s="627">
        <f t="shared" ref="G71:L71" si="104">G9+G15+G18</f>
        <v>66628493.519999996</v>
      </c>
      <c r="H71" s="627">
        <f t="shared" si="104"/>
        <v>64.16</v>
      </c>
      <c r="I71" s="627">
        <f t="shared" si="104"/>
        <v>66758750.950000003</v>
      </c>
      <c r="J71" s="627">
        <f t="shared" si="104"/>
        <v>64.19</v>
      </c>
      <c r="K71" s="627">
        <f t="shared" si="104"/>
        <v>66998378.109999999</v>
      </c>
      <c r="L71" s="627">
        <f t="shared" si="104"/>
        <v>64.260000000000005</v>
      </c>
      <c r="M71" s="627">
        <f t="shared" ref="M71:N71" si="105">M9+M15+M18</f>
        <v>66783040.82</v>
      </c>
      <c r="N71" s="627">
        <f t="shared" si="105"/>
        <v>64.179999999999993</v>
      </c>
      <c r="O71" s="627">
        <f t="shared" ref="O71:P71" si="106">O9+O15+O18</f>
        <v>66681761.469999999</v>
      </c>
      <c r="P71" s="627">
        <f t="shared" si="106"/>
        <v>64.150000000000006</v>
      </c>
      <c r="Q71" s="627">
        <f t="shared" ref="Q71:R71" si="107">Q9+Q15+Q18</f>
        <v>66873201.480000004</v>
      </c>
      <c r="R71" s="627">
        <f t="shared" si="107"/>
        <v>64.209999999999994</v>
      </c>
      <c r="S71" s="627">
        <f t="shared" ref="S71:T71" si="108">S9+S15+S18</f>
        <v>66899869.309999995</v>
      </c>
      <c r="T71" s="627">
        <f t="shared" si="108"/>
        <v>64.27</v>
      </c>
      <c r="U71" s="627">
        <f t="shared" ref="U71:V71" si="109">U9+U15+U18</f>
        <v>66766646.479999997</v>
      </c>
      <c r="V71" s="627">
        <f t="shared" si="109"/>
        <v>64.23</v>
      </c>
      <c r="W71" s="627">
        <f t="shared" ref="W71:X71" si="110">W9+W15+W18</f>
        <v>66846292.539999999</v>
      </c>
      <c r="X71" s="627">
        <f t="shared" si="110"/>
        <v>64.25</v>
      </c>
      <c r="Y71" s="627">
        <f t="shared" ref="Y71:Z71" si="111">Y9+Y15+Y18</f>
        <v>67053684.730000004</v>
      </c>
      <c r="Z71" s="627">
        <f t="shared" si="111"/>
        <v>64.319999999999993</v>
      </c>
      <c r="AA71" s="627">
        <f t="shared" ref="AA71:AB71" si="112">AA9+AA15+AA18</f>
        <v>67081365.329999998</v>
      </c>
      <c r="AB71" s="627">
        <f t="shared" si="112"/>
        <v>64.33</v>
      </c>
      <c r="AC71" s="627">
        <f t="shared" ref="AC71:AD71" si="113">AC9+AC15+AC18</f>
        <v>66704598.299999997</v>
      </c>
      <c r="AD71" s="627">
        <f t="shared" si="113"/>
        <v>64.13000000000001</v>
      </c>
      <c r="AE71" s="627">
        <f t="shared" ref="AE71:AF71" si="114">AE9+AE15+AE18</f>
        <v>66777167.760000005</v>
      </c>
      <c r="AF71" s="627">
        <f t="shared" si="114"/>
        <v>64.089999999999989</v>
      </c>
      <c r="AG71" s="627">
        <f t="shared" ref="AG71:AH71" si="115">AG9+AG15+AG18</f>
        <v>66950666.170000002</v>
      </c>
      <c r="AH71" s="627">
        <f t="shared" si="115"/>
        <v>64.14</v>
      </c>
      <c r="AI71" s="627">
        <f t="shared" ref="AI71:AJ71" si="116">AI9+AI15+AI18</f>
        <v>66942637.379999995</v>
      </c>
      <c r="AJ71" s="627">
        <f t="shared" si="116"/>
        <v>64.139999999999986</v>
      </c>
      <c r="AK71" s="627">
        <f t="shared" ref="AK71:AL71" si="117">AK9+AK15+AK18</f>
        <v>66490907.890000001</v>
      </c>
      <c r="AL71" s="627">
        <f t="shared" si="117"/>
        <v>63.69</v>
      </c>
      <c r="AM71" s="627">
        <f t="shared" ref="AM71:AN71" si="118">AM9+AM15+AM18</f>
        <v>66436996.450000003</v>
      </c>
      <c r="AN71" s="627">
        <f t="shared" si="118"/>
        <v>63.750000000000007</v>
      </c>
      <c r="AO71" s="627">
        <f t="shared" ref="AO71:AP71" si="119">AO9+AO15+AO18</f>
        <v>66545275.019999996</v>
      </c>
      <c r="AP71" s="627">
        <f t="shared" si="119"/>
        <v>63.78</v>
      </c>
      <c r="AQ71" s="627">
        <f t="shared" ref="AQ71:AR71" si="120">AQ9+AQ15+AQ18</f>
        <v>66678132.859999999</v>
      </c>
      <c r="AR71" s="627">
        <f t="shared" si="120"/>
        <v>63.780000000000008</v>
      </c>
    </row>
    <row r="72" spans="1:44">
      <c r="A72" s="145"/>
      <c r="B72" s="145" t="s">
        <v>109</v>
      </c>
      <c r="C72" s="628">
        <f t="shared" ref="C72:D72" si="121">C36</f>
        <v>26021457.789999999</v>
      </c>
      <c r="D72" s="688">
        <f t="shared" si="121"/>
        <v>24.87</v>
      </c>
      <c r="E72" s="628">
        <f t="shared" ref="E72:F72" si="122">E36</f>
        <v>25978502.899999999</v>
      </c>
      <c r="F72" s="688">
        <f t="shared" si="122"/>
        <v>24.82</v>
      </c>
      <c r="G72" s="628">
        <f t="shared" ref="G72" si="123">G36</f>
        <v>25460261.379999999</v>
      </c>
      <c r="H72" s="628">
        <f t="shared" ref="H72:I72" si="124">H36</f>
        <v>24.509999999999998</v>
      </c>
      <c r="I72" s="628">
        <f t="shared" si="124"/>
        <v>25479985.550000001</v>
      </c>
      <c r="J72" s="628">
        <f t="shared" ref="J72:K72" si="125">J36</f>
        <v>24.5</v>
      </c>
      <c r="K72" s="628">
        <f t="shared" si="125"/>
        <v>25497286.439999998</v>
      </c>
      <c r="L72" s="628">
        <f t="shared" ref="L72:M72" si="126">L36</f>
        <v>24.46</v>
      </c>
      <c r="M72" s="628">
        <f t="shared" si="126"/>
        <v>25522984.68</v>
      </c>
      <c r="N72" s="628">
        <f t="shared" ref="N72:O72" si="127">N36</f>
        <v>24.53</v>
      </c>
      <c r="O72" s="628">
        <f t="shared" si="127"/>
        <v>25525663.68</v>
      </c>
      <c r="P72" s="628">
        <f t="shared" ref="P72:Q72" si="128">P36</f>
        <v>24.560000000000002</v>
      </c>
      <c r="Q72" s="628">
        <f t="shared" si="128"/>
        <v>25521054.16</v>
      </c>
      <c r="R72" s="628">
        <f t="shared" ref="R72:S72" si="129">R36</f>
        <v>24.51</v>
      </c>
      <c r="S72" s="628">
        <f t="shared" si="129"/>
        <v>25436894.699999999</v>
      </c>
      <c r="T72" s="628">
        <f t="shared" ref="T72:U72" si="130">T36</f>
        <v>24.45</v>
      </c>
      <c r="U72" s="628">
        <f t="shared" si="130"/>
        <v>25436894.699999999</v>
      </c>
      <c r="V72" s="628">
        <f t="shared" ref="V72:W72" si="131">V36</f>
        <v>24.479999999999997</v>
      </c>
      <c r="W72" s="628">
        <f t="shared" si="131"/>
        <v>25438565.699999999</v>
      </c>
      <c r="X72" s="628">
        <f t="shared" ref="X72:Y72" si="132">X36</f>
        <v>24.47</v>
      </c>
      <c r="Y72" s="628">
        <f t="shared" si="132"/>
        <v>25438565.699999999</v>
      </c>
      <c r="Z72" s="628">
        <f t="shared" ref="Z72:AA72" si="133">Z36</f>
        <v>24.41</v>
      </c>
      <c r="AA72" s="628">
        <f t="shared" si="133"/>
        <v>25438565.699999999</v>
      </c>
      <c r="AB72" s="628">
        <f t="shared" ref="AB72:AC72" si="134">AB36</f>
        <v>24.400000000000006</v>
      </c>
      <c r="AC72" s="628">
        <f t="shared" si="134"/>
        <v>25425634.829999998</v>
      </c>
      <c r="AD72" s="628">
        <f t="shared" ref="AD72:AE72" si="135">AD36</f>
        <v>24.450000000000003</v>
      </c>
      <c r="AE72" s="628">
        <f t="shared" si="135"/>
        <v>25425634.829999998</v>
      </c>
      <c r="AF72" s="628">
        <f t="shared" ref="AF72:AG72" si="136">AF36</f>
        <v>24.410000000000004</v>
      </c>
      <c r="AG72" s="628">
        <f t="shared" si="136"/>
        <v>25570599.469999999</v>
      </c>
      <c r="AH72" s="628">
        <f t="shared" ref="AH72:AI72" si="137">AH36</f>
        <v>24.5</v>
      </c>
      <c r="AI72" s="628">
        <f t="shared" si="137"/>
        <v>25565264.469999999</v>
      </c>
      <c r="AJ72" s="628">
        <f t="shared" ref="AJ72:AK72" si="138">AJ36</f>
        <v>24.5</v>
      </c>
      <c r="AK72" s="628">
        <f t="shared" si="138"/>
        <v>26052239.469999999</v>
      </c>
      <c r="AL72" s="628">
        <f t="shared" ref="AL72:AM72" si="139">AL36</f>
        <v>24.96</v>
      </c>
      <c r="AM72" s="628">
        <f t="shared" si="139"/>
        <v>25913135.25</v>
      </c>
      <c r="AN72" s="628">
        <f t="shared" ref="AN72:AO72" si="140">AN36</f>
        <v>24.870000000000005</v>
      </c>
      <c r="AO72" s="628">
        <f t="shared" si="140"/>
        <v>25931189.219999999</v>
      </c>
      <c r="AP72" s="628">
        <f t="shared" ref="AP72:AQ72" si="141">AP36</f>
        <v>24.86</v>
      </c>
      <c r="AQ72" s="628">
        <f t="shared" si="141"/>
        <v>25931189.219999999</v>
      </c>
      <c r="AR72" s="628">
        <f t="shared" ref="AR72" si="142">AR36</f>
        <v>24.800000000000004</v>
      </c>
    </row>
    <row r="73" spans="1:44">
      <c r="B73" s="145" t="s">
        <v>110</v>
      </c>
      <c r="C73" s="628">
        <f t="shared" ref="C73:D73" si="143">C22</f>
        <v>7005983.7000000002</v>
      </c>
      <c r="D73" s="688">
        <f t="shared" si="143"/>
        <v>6.7</v>
      </c>
      <c r="E73" s="628">
        <f t="shared" ref="E73:F73" si="144">E22</f>
        <v>7005983.7000000002</v>
      </c>
      <c r="F73" s="688">
        <f t="shared" si="144"/>
        <v>6.7</v>
      </c>
      <c r="G73" s="628">
        <f t="shared" ref="G73" si="145">G22</f>
        <v>7005983.7000000002</v>
      </c>
      <c r="H73" s="628">
        <f t="shared" ref="H73:I73" si="146">H22</f>
        <v>6.75</v>
      </c>
      <c r="I73" s="628">
        <f t="shared" si="146"/>
        <v>7005983.7000000002</v>
      </c>
      <c r="J73" s="628">
        <f t="shared" ref="J73:K73" si="147">J22</f>
        <v>6.74</v>
      </c>
      <c r="K73" s="628">
        <f t="shared" si="147"/>
        <v>7005983.7000000002</v>
      </c>
      <c r="L73" s="628">
        <f t="shared" ref="L73:M73" si="148">L22</f>
        <v>6.74</v>
      </c>
      <c r="M73" s="628">
        <f t="shared" si="148"/>
        <v>7005983.7000000002</v>
      </c>
      <c r="N73" s="628">
        <f t="shared" ref="N73:O73" si="149">N22</f>
        <v>6.74</v>
      </c>
      <c r="O73" s="628">
        <f t="shared" si="149"/>
        <v>7005983.7000000002</v>
      </c>
      <c r="P73" s="628">
        <f t="shared" ref="P73:Q73" si="150">P22</f>
        <v>6.74</v>
      </c>
      <c r="Q73" s="628">
        <f t="shared" si="150"/>
        <v>7005983.7000000002</v>
      </c>
      <c r="R73" s="628">
        <f t="shared" ref="R73:S73" si="151">R22</f>
        <v>6.74</v>
      </c>
      <c r="S73" s="628">
        <f t="shared" si="151"/>
        <v>7005983.7000000002</v>
      </c>
      <c r="T73" s="628">
        <f t="shared" ref="T73:U73" si="152">T22</f>
        <v>6.7299999999999995</v>
      </c>
      <c r="U73" s="628">
        <f t="shared" si="152"/>
        <v>7005983.7000000002</v>
      </c>
      <c r="V73" s="628">
        <f t="shared" ref="V73:W73" si="153">V22</f>
        <v>6.74</v>
      </c>
      <c r="W73" s="628">
        <f t="shared" si="153"/>
        <v>7005983.7000000002</v>
      </c>
      <c r="X73" s="628">
        <f t="shared" ref="X73:Y73" si="154">X22</f>
        <v>6.7299999999999995</v>
      </c>
      <c r="Y73" s="628">
        <f t="shared" si="154"/>
        <v>7005983.7000000002</v>
      </c>
      <c r="Z73" s="628">
        <f t="shared" ref="Z73:AA73" si="155">Z22</f>
        <v>6.72</v>
      </c>
      <c r="AA73" s="628">
        <f t="shared" si="155"/>
        <v>7005983.7000000002</v>
      </c>
      <c r="AB73" s="628">
        <f t="shared" ref="AB73:AC73" si="156">AB22</f>
        <v>6.72</v>
      </c>
      <c r="AC73" s="628">
        <f t="shared" si="156"/>
        <v>7005983.7000000002</v>
      </c>
      <c r="AD73" s="628">
        <f t="shared" ref="AD73:AE73" si="157">AD22</f>
        <v>6.7299999999999995</v>
      </c>
      <c r="AE73" s="628">
        <f t="shared" si="157"/>
        <v>7005983.7000000002</v>
      </c>
      <c r="AF73" s="628">
        <f t="shared" ref="AF73:AG73" si="158">AF22</f>
        <v>6.72</v>
      </c>
      <c r="AG73" s="628">
        <f t="shared" si="158"/>
        <v>7005983.7000000002</v>
      </c>
      <c r="AH73" s="628">
        <f t="shared" ref="AH73:AI73" si="159">AH22</f>
        <v>6.71</v>
      </c>
      <c r="AI73" s="628">
        <f t="shared" si="159"/>
        <v>7005983.7000000002</v>
      </c>
      <c r="AJ73" s="628">
        <f t="shared" ref="AJ73:AK73" si="160">AJ22</f>
        <v>6.71</v>
      </c>
      <c r="AK73" s="628">
        <f t="shared" si="160"/>
        <v>7005983.7000000002</v>
      </c>
      <c r="AL73" s="628">
        <f t="shared" ref="AL73:AM73" si="161">AL22</f>
        <v>6.7</v>
      </c>
      <c r="AM73" s="628">
        <f t="shared" si="161"/>
        <v>7005983.7000000002</v>
      </c>
      <c r="AN73" s="628">
        <f t="shared" ref="AN73:AO73" si="162">AN22</f>
        <v>6.7</v>
      </c>
      <c r="AO73" s="628">
        <f t="shared" si="162"/>
        <v>7005983.7000000002</v>
      </c>
      <c r="AP73" s="628">
        <f t="shared" ref="AP73:AQ73" si="163">AP22</f>
        <v>6.71</v>
      </c>
      <c r="AQ73" s="628">
        <f t="shared" si="163"/>
        <v>7005983.7000000002</v>
      </c>
      <c r="AR73" s="628">
        <f t="shared" ref="AR73" si="164">AR22</f>
        <v>6.7</v>
      </c>
    </row>
    <row r="74" spans="1:44">
      <c r="B74" s="145" t="s">
        <v>122</v>
      </c>
      <c r="C74" s="628"/>
      <c r="D74" s="687">
        <f>D18</f>
        <v>1.63</v>
      </c>
      <c r="E74" s="628"/>
      <c r="F74" s="687">
        <f>F18</f>
        <v>1.63</v>
      </c>
      <c r="G74" s="628"/>
      <c r="H74" s="628"/>
      <c r="I74" s="628"/>
      <c r="J74" s="628"/>
      <c r="K74" s="628"/>
      <c r="L74" s="628"/>
      <c r="M74" s="628"/>
      <c r="N74" s="628"/>
      <c r="O74" s="628"/>
      <c r="P74" s="628"/>
      <c r="Q74" s="628"/>
      <c r="R74" s="628"/>
      <c r="S74" s="628"/>
      <c r="T74" s="628"/>
      <c r="U74" s="628"/>
      <c r="V74" s="628"/>
      <c r="W74" s="628"/>
      <c r="X74" s="628"/>
      <c r="Y74" s="628"/>
      <c r="Z74" s="628"/>
      <c r="AA74" s="628"/>
      <c r="AB74" s="628"/>
      <c r="AC74" s="628"/>
      <c r="AD74" s="628"/>
      <c r="AE74" s="628"/>
      <c r="AF74" s="628"/>
      <c r="AG74" s="628"/>
      <c r="AH74" s="628"/>
      <c r="AI74" s="628"/>
      <c r="AJ74" s="628"/>
      <c r="AK74" s="628"/>
      <c r="AL74" s="628"/>
      <c r="AM74" s="628"/>
      <c r="AN74" s="628"/>
      <c r="AO74" s="628"/>
      <c r="AP74" s="628"/>
      <c r="AQ74" s="628"/>
      <c r="AR74" s="628"/>
    </row>
    <row r="75" spans="1:44" ht="16.5" thickBot="1">
      <c r="A75" s="1037"/>
      <c r="B75" s="1038"/>
      <c r="C75" s="629">
        <f t="shared" ref="C75:D75" si="165">C70</f>
        <v>4752061.5000000009</v>
      </c>
      <c r="D75" s="690">
        <f t="shared" si="165"/>
        <v>4.5499999999999989</v>
      </c>
      <c r="E75" s="629">
        <f t="shared" ref="E75:F75" si="166">E70</f>
        <v>4754508.97</v>
      </c>
      <c r="F75" s="690">
        <f t="shared" si="166"/>
        <v>4.5499999999999989</v>
      </c>
      <c r="G75" s="629">
        <f t="shared" ref="G75" si="167">G70</f>
        <v>4758754.4099999992</v>
      </c>
      <c r="H75" s="629">
        <f t="shared" ref="H75:I75" si="168">H70</f>
        <v>4.5799999999999992</v>
      </c>
      <c r="I75" s="629">
        <f t="shared" si="168"/>
        <v>4741349.49</v>
      </c>
      <c r="J75" s="629">
        <f t="shared" ref="J75:K75" si="169">J70</f>
        <v>4.5699999999999994</v>
      </c>
      <c r="K75" s="629">
        <f t="shared" si="169"/>
        <v>4742289.6599999992</v>
      </c>
      <c r="L75" s="629">
        <f t="shared" ref="L75:M75" si="170">L70</f>
        <v>4.5499999999999989</v>
      </c>
      <c r="M75" s="629">
        <f t="shared" si="170"/>
        <v>4725294.21</v>
      </c>
      <c r="N75" s="629">
        <f t="shared" ref="N75:O75" si="171">N70</f>
        <v>4.5499999999999989</v>
      </c>
      <c r="O75" s="629">
        <f t="shared" si="171"/>
        <v>4724839.29</v>
      </c>
      <c r="P75" s="629">
        <f t="shared" ref="P75:Q75" si="172">P70</f>
        <v>4.5499999999999989</v>
      </c>
      <c r="Q75" s="629">
        <f t="shared" si="172"/>
        <v>4728412.1399999987</v>
      </c>
      <c r="R75" s="629">
        <f t="shared" ref="R75:S75" si="173">R70</f>
        <v>4.5499999999999989</v>
      </c>
      <c r="S75" s="629">
        <f t="shared" si="173"/>
        <v>4727957.1800000006</v>
      </c>
      <c r="T75" s="629">
        <f t="shared" ref="T75:U75" si="174">T70</f>
        <v>4.5499999999999989</v>
      </c>
      <c r="U75" s="629">
        <f t="shared" si="174"/>
        <v>4729053.5999999996</v>
      </c>
      <c r="V75" s="629">
        <f t="shared" ref="V75:W75" si="175">V70</f>
        <v>4.5499999999999989</v>
      </c>
      <c r="W75" s="629">
        <f t="shared" si="175"/>
        <v>4729669.55</v>
      </c>
      <c r="X75" s="629">
        <f t="shared" ref="X75:Y75" si="176">X70</f>
        <v>4.549999999999998</v>
      </c>
      <c r="Y75" s="629">
        <f t="shared" si="176"/>
        <v>4730765.9800000014</v>
      </c>
      <c r="Z75" s="629">
        <f t="shared" ref="Z75:AA75" si="177">Z70</f>
        <v>4.5399999999999983</v>
      </c>
      <c r="AA75" s="629">
        <f t="shared" si="177"/>
        <v>4731778.1499999985</v>
      </c>
      <c r="AB75" s="629">
        <f t="shared" ref="AB75:AC75" si="178">AB70</f>
        <v>4.5499999999999989</v>
      </c>
      <c r="AC75" s="629">
        <f t="shared" si="178"/>
        <v>4870410.38</v>
      </c>
      <c r="AD75" s="629">
        <f t="shared" ref="AD75:AE75" si="179">AD70</f>
        <v>4.6899999999999986</v>
      </c>
      <c r="AE75" s="629">
        <f t="shared" si="179"/>
        <v>4973733.2700000005</v>
      </c>
      <c r="AF75" s="629">
        <f t="shared" ref="AF75:AG75" si="180">AF70</f>
        <v>4.7799999999999985</v>
      </c>
      <c r="AG75" s="629">
        <f t="shared" si="180"/>
        <v>4836610.8999999994</v>
      </c>
      <c r="AH75" s="629">
        <f t="shared" ref="AH75:AI75" si="181">AH70</f>
        <v>4.6499999999999995</v>
      </c>
      <c r="AI75" s="629">
        <f t="shared" si="181"/>
        <v>4844318.3599999994</v>
      </c>
      <c r="AJ75" s="629">
        <f t="shared" ref="AJ75:AK75" si="182">AJ70</f>
        <v>4.6499999999999986</v>
      </c>
      <c r="AK75" s="629">
        <f t="shared" si="182"/>
        <v>4846733.37</v>
      </c>
      <c r="AL75" s="629">
        <f t="shared" ref="AL75:AM75" si="183">AL70</f>
        <v>4.6499999999999986</v>
      </c>
      <c r="AM75" s="629">
        <f t="shared" si="183"/>
        <v>4850833.3499999996</v>
      </c>
      <c r="AN75" s="629">
        <f t="shared" ref="AN75:AO75" si="184">AN70</f>
        <v>4.6699999999999982</v>
      </c>
      <c r="AO75" s="629">
        <f t="shared" si="184"/>
        <v>4842899.0599999996</v>
      </c>
      <c r="AP75" s="629">
        <f t="shared" ref="AP75:AQ75" si="185">AP70</f>
        <v>4.6499999999999986</v>
      </c>
      <c r="AQ75" s="629">
        <f t="shared" si="185"/>
        <v>4929811.47</v>
      </c>
      <c r="AR75" s="629">
        <f t="shared" ref="AR75" si="186">AR70</f>
        <v>4.719999999999998</v>
      </c>
    </row>
    <row r="76" spans="1:44" ht="16.5" thickBot="1">
      <c r="A76" s="151"/>
      <c r="B76" s="152" t="s">
        <v>111</v>
      </c>
      <c r="C76" s="416">
        <f t="shared" ref="C76:D76" si="187">SUM(C71:C75)</f>
        <v>104613905.94000001</v>
      </c>
      <c r="D76" s="416">
        <f t="shared" si="187"/>
        <v>100.00999999999999</v>
      </c>
      <c r="E76" s="416">
        <f t="shared" ref="E76:F76" si="188">SUM(E71:E75)</f>
        <v>104658995.52</v>
      </c>
      <c r="F76" s="416">
        <f t="shared" si="188"/>
        <v>100.00999999999999</v>
      </c>
      <c r="G76" s="416">
        <f t="shared" ref="G76:H76" si="189">SUM(G71:G75)</f>
        <v>103853493.00999999</v>
      </c>
      <c r="H76" s="416">
        <f t="shared" si="189"/>
        <v>99.999999999999986</v>
      </c>
      <c r="I76" s="416">
        <f t="shared" ref="I76:J76" si="190">SUM(I71:I75)</f>
        <v>103986069.69</v>
      </c>
      <c r="J76" s="416">
        <f t="shared" si="190"/>
        <v>99.999999999999986</v>
      </c>
      <c r="K76" s="416">
        <f t="shared" ref="K76:L76" si="191">SUM(K71:K75)</f>
        <v>104243937.91</v>
      </c>
      <c r="L76" s="416">
        <f t="shared" si="191"/>
        <v>100.00999999999999</v>
      </c>
      <c r="M76" s="416">
        <f t="shared" ref="M76:N76" si="192">SUM(M71:M75)</f>
        <v>104037303.41</v>
      </c>
      <c r="N76" s="416">
        <f t="shared" si="192"/>
        <v>99.999999999999986</v>
      </c>
      <c r="O76" s="416">
        <f t="shared" ref="O76:P76" si="193">SUM(O71:O75)</f>
        <v>103938248.14000002</v>
      </c>
      <c r="P76" s="416">
        <f t="shared" si="193"/>
        <v>100</v>
      </c>
      <c r="Q76" s="416">
        <f t="shared" ref="Q76:R76" si="194">SUM(Q71:Q75)</f>
        <v>104128651.48</v>
      </c>
      <c r="R76" s="416">
        <f t="shared" si="194"/>
        <v>100.00999999999999</v>
      </c>
      <c r="S76" s="416">
        <f t="shared" ref="S76:T76" si="195">SUM(S71:S75)</f>
        <v>104070704.89</v>
      </c>
      <c r="T76" s="416">
        <f t="shared" si="195"/>
        <v>100</v>
      </c>
      <c r="U76" s="416">
        <f t="shared" ref="U76:V76" si="196">SUM(U71:U75)</f>
        <v>103938578.47999999</v>
      </c>
      <c r="V76" s="416">
        <f t="shared" si="196"/>
        <v>100</v>
      </c>
      <c r="W76" s="416">
        <f t="shared" ref="W76:X76" si="197">SUM(W71:W75)</f>
        <v>104020511.48999999</v>
      </c>
      <c r="X76" s="416">
        <f t="shared" si="197"/>
        <v>100</v>
      </c>
      <c r="Y76" s="416">
        <f t="shared" ref="Y76:Z76" si="198">SUM(Y71:Y75)</f>
        <v>104229000.11000001</v>
      </c>
      <c r="Z76" s="416">
        <f t="shared" si="198"/>
        <v>99.989999999999981</v>
      </c>
      <c r="AA76" s="416">
        <f t="shared" ref="AA76:AB76" si="199">SUM(AA71:AA75)</f>
        <v>104257692.88</v>
      </c>
      <c r="AB76" s="416">
        <f t="shared" si="199"/>
        <v>100</v>
      </c>
      <c r="AC76" s="416">
        <f t="shared" ref="AC76:AD76" si="200">SUM(AC71:AC75)</f>
        <v>104006627.20999999</v>
      </c>
      <c r="AD76" s="416">
        <f t="shared" si="200"/>
        <v>100.00000000000001</v>
      </c>
      <c r="AE76" s="416">
        <f t="shared" ref="AE76:AF76" si="201">SUM(AE71:AE75)</f>
        <v>104182519.56</v>
      </c>
      <c r="AF76" s="416">
        <f t="shared" si="201"/>
        <v>100</v>
      </c>
      <c r="AG76" s="416">
        <f t="shared" ref="AG76:AH76" si="202">SUM(AG71:AG75)</f>
        <v>104363860.24000001</v>
      </c>
      <c r="AH76" s="416">
        <f t="shared" si="202"/>
        <v>100</v>
      </c>
      <c r="AI76" s="416">
        <f t="shared" ref="AI76:AJ76" si="203">SUM(AI71:AI75)</f>
        <v>104358203.91</v>
      </c>
      <c r="AJ76" s="416">
        <f t="shared" si="203"/>
        <v>99.999999999999972</v>
      </c>
      <c r="AK76" s="416">
        <f t="shared" ref="AK76:AL76" si="204">SUM(AK71:AK75)</f>
        <v>104395864.43000001</v>
      </c>
      <c r="AL76" s="416">
        <f t="shared" si="204"/>
        <v>100</v>
      </c>
      <c r="AM76" s="416">
        <f t="shared" ref="AM76:AN76" si="205">SUM(AM71:AM75)</f>
        <v>104206948.75</v>
      </c>
      <c r="AN76" s="416">
        <f t="shared" si="205"/>
        <v>99.990000000000009</v>
      </c>
      <c r="AO76" s="416">
        <f t="shared" ref="AO76:AP76" si="206">SUM(AO71:AO75)</f>
        <v>104325347</v>
      </c>
      <c r="AP76" s="416">
        <f t="shared" si="206"/>
        <v>100</v>
      </c>
      <c r="AQ76" s="416">
        <f t="shared" ref="AQ76:AR76" si="207">SUM(AQ71:AQ75)</f>
        <v>104545117.25</v>
      </c>
      <c r="AR76" s="416">
        <f t="shared" si="207"/>
        <v>100.00000000000001</v>
      </c>
    </row>
  </sheetData>
  <mergeCells count="36">
    <mergeCell ref="AE1:AF1"/>
    <mergeCell ref="AG1:AH1"/>
    <mergeCell ref="AO1:AP1"/>
    <mergeCell ref="AM1:AN1"/>
    <mergeCell ref="S1:T1"/>
    <mergeCell ref="AQ1:AR1"/>
    <mergeCell ref="AK1:AL1"/>
    <mergeCell ref="W1:X1"/>
    <mergeCell ref="U1:V1"/>
    <mergeCell ref="A75:B75"/>
    <mergeCell ref="A53:B53"/>
    <mergeCell ref="A58:B58"/>
    <mergeCell ref="A63:B63"/>
    <mergeCell ref="A64:B64"/>
    <mergeCell ref="A66:B66"/>
    <mergeCell ref="A69:B69"/>
    <mergeCell ref="A70:B70"/>
    <mergeCell ref="E1:F1"/>
    <mergeCell ref="G1:H1"/>
    <mergeCell ref="A15:B15"/>
    <mergeCell ref="AI1:AJ1"/>
    <mergeCell ref="A38:B38"/>
    <mergeCell ref="C1:D1"/>
    <mergeCell ref="A9:B9"/>
    <mergeCell ref="A36:B36"/>
    <mergeCell ref="A37:B37"/>
    <mergeCell ref="A18:B18"/>
    <mergeCell ref="A22:B22"/>
    <mergeCell ref="I1:J1"/>
    <mergeCell ref="K1:L1"/>
    <mergeCell ref="AC1:AD1"/>
    <mergeCell ref="Y1:Z1"/>
    <mergeCell ref="AA1:AB1"/>
    <mergeCell ref="M1:N1"/>
    <mergeCell ref="O1:P1"/>
    <mergeCell ref="Q1:R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W76"/>
  <sheetViews>
    <sheetView topLeftCell="AO76" zoomScale="130" zoomScaleNormal="130" workbookViewId="0">
      <selection activeCell="AO77" sqref="A77:XFD86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4.42578125" style="630" customWidth="1"/>
    <col min="4" max="4" width="12.5703125" style="692" customWidth="1"/>
    <col min="5" max="5" width="24.42578125" style="630" customWidth="1"/>
    <col min="6" max="6" width="12.5703125" style="692" customWidth="1"/>
    <col min="7" max="7" width="24.42578125" style="630" customWidth="1"/>
    <col min="8" max="8" width="12.5703125" style="692" customWidth="1"/>
    <col min="9" max="9" width="24.42578125" style="630" customWidth="1"/>
    <col min="10" max="10" width="12.5703125" style="692" customWidth="1"/>
    <col min="11" max="11" width="24.42578125" style="630" customWidth="1"/>
    <col min="12" max="12" width="12.5703125" style="692" customWidth="1"/>
    <col min="13" max="13" width="24.42578125" style="630" customWidth="1"/>
    <col min="14" max="14" width="12.5703125" style="692" customWidth="1"/>
    <col min="15" max="15" width="24.42578125" style="630" customWidth="1"/>
    <col min="16" max="16" width="12.5703125" style="692" customWidth="1"/>
    <col min="17" max="17" width="24.42578125" style="630" customWidth="1"/>
    <col min="18" max="18" width="12.5703125" style="692" customWidth="1"/>
    <col min="19" max="19" width="24.42578125" style="630" customWidth="1"/>
    <col min="20" max="20" width="12.5703125" style="692" customWidth="1"/>
    <col min="21" max="21" width="24.42578125" style="630" customWidth="1"/>
    <col min="22" max="22" width="12.5703125" style="692" customWidth="1"/>
    <col min="23" max="23" width="24.42578125" style="630" customWidth="1"/>
    <col min="24" max="24" width="12.5703125" style="692" customWidth="1"/>
    <col min="25" max="25" width="24.42578125" style="630" customWidth="1"/>
    <col min="26" max="26" width="12.5703125" style="692" customWidth="1"/>
    <col min="27" max="27" width="24.42578125" style="630" customWidth="1"/>
    <col min="28" max="28" width="12.5703125" style="692" customWidth="1"/>
    <col min="29" max="29" width="24.42578125" style="630" customWidth="1"/>
    <col min="30" max="30" width="12.5703125" style="692" customWidth="1"/>
    <col min="31" max="31" width="24.42578125" style="630" customWidth="1"/>
    <col min="32" max="32" width="12.5703125" style="692" customWidth="1"/>
    <col min="33" max="33" width="24.42578125" style="630" customWidth="1"/>
    <col min="34" max="34" width="12.5703125" style="692" customWidth="1"/>
    <col min="35" max="35" width="24.42578125" style="630" customWidth="1"/>
    <col min="36" max="36" width="12.5703125" style="692" customWidth="1"/>
    <col min="37" max="37" width="24.42578125" style="630" customWidth="1"/>
    <col min="38" max="38" width="12.5703125" style="692" customWidth="1"/>
    <col min="39" max="39" width="24.42578125" style="630" customWidth="1"/>
    <col min="40" max="40" width="12.5703125" style="692" customWidth="1"/>
    <col min="41" max="41" width="24.42578125" style="630" customWidth="1"/>
    <col min="42" max="42" width="12.5703125" style="692" customWidth="1"/>
    <col min="43" max="43" width="24.42578125" style="630" customWidth="1"/>
    <col min="44" max="44" width="12.5703125" style="692" customWidth="1"/>
    <col min="45" max="45" width="24.42578125" style="630" customWidth="1"/>
    <col min="46" max="46" width="12.5703125" style="692" customWidth="1"/>
    <col min="47" max="47" width="24.42578125" style="630" hidden="1" customWidth="1"/>
    <col min="48" max="48" width="12.5703125" style="692" hidden="1" customWidth="1"/>
    <col min="49" max="49" width="14.85546875" hidden="1" customWidth="1"/>
    <col min="50" max="50" width="14.85546875" customWidth="1"/>
  </cols>
  <sheetData>
    <row r="1" spans="1:48">
      <c r="C1" s="1035">
        <v>1</v>
      </c>
      <c r="D1" s="1036"/>
      <c r="E1" s="1035">
        <v>2</v>
      </c>
      <c r="F1" s="1036"/>
      <c r="G1" s="1035">
        <v>3</v>
      </c>
      <c r="H1" s="1036"/>
      <c r="I1" s="1035">
        <v>4</v>
      </c>
      <c r="J1" s="1036"/>
      <c r="K1" s="1035">
        <v>7</v>
      </c>
      <c r="L1" s="1036"/>
      <c r="M1" s="1035">
        <v>8</v>
      </c>
      <c r="N1" s="1036"/>
      <c r="O1" s="1035">
        <v>9</v>
      </c>
      <c r="P1" s="1036"/>
      <c r="Q1" s="1035">
        <v>10</v>
      </c>
      <c r="R1" s="1036"/>
      <c r="S1" s="1035">
        <v>11</v>
      </c>
      <c r="T1" s="1036"/>
      <c r="U1" s="1035">
        <v>14</v>
      </c>
      <c r="V1" s="1036"/>
      <c r="W1" s="1035">
        <v>15</v>
      </c>
      <c r="X1" s="1036"/>
      <c r="Y1" s="1035">
        <v>16</v>
      </c>
      <c r="Z1" s="1036"/>
      <c r="AA1" s="1035">
        <v>17</v>
      </c>
      <c r="AB1" s="1036"/>
      <c r="AC1" s="1035">
        <v>18</v>
      </c>
      <c r="AD1" s="1036"/>
      <c r="AE1" s="1035">
        <v>21</v>
      </c>
      <c r="AF1" s="1036"/>
      <c r="AG1" s="1035">
        <v>22</v>
      </c>
      <c r="AH1" s="1036"/>
      <c r="AI1" s="1035">
        <v>23</v>
      </c>
      <c r="AJ1" s="1036"/>
      <c r="AK1" s="1035">
        <v>24</v>
      </c>
      <c r="AL1" s="1036"/>
      <c r="AM1" s="1035">
        <v>25</v>
      </c>
      <c r="AN1" s="1036"/>
      <c r="AO1" s="1035">
        <v>28</v>
      </c>
      <c r="AP1" s="1036"/>
      <c r="AQ1" s="1035">
        <v>29</v>
      </c>
      <c r="AR1" s="1036"/>
      <c r="AS1" s="1035">
        <v>30</v>
      </c>
      <c r="AT1" s="1036"/>
      <c r="AU1" s="1035">
        <v>31</v>
      </c>
      <c r="AV1" s="1036"/>
    </row>
    <row r="2" spans="1:48">
      <c r="A2" s="418" t="s">
        <v>129</v>
      </c>
      <c r="B2" s="58" t="s">
        <v>15</v>
      </c>
      <c r="C2" s="758">
        <v>6419162.5499999998</v>
      </c>
      <c r="D2" s="200">
        <v>6.13</v>
      </c>
      <c r="E2" s="757">
        <v>6421838.0099999998</v>
      </c>
      <c r="F2" s="798">
        <v>6.14</v>
      </c>
      <c r="G2" s="757">
        <v>6424603.1200000001</v>
      </c>
      <c r="H2" s="798">
        <v>6.18</v>
      </c>
      <c r="I2" s="757">
        <v>6432414.0800000001</v>
      </c>
      <c r="J2" s="798">
        <v>6.18</v>
      </c>
      <c r="K2" s="757">
        <v>6443085.5999999996</v>
      </c>
      <c r="L2" s="798">
        <v>6.18</v>
      </c>
      <c r="M2" s="758">
        <v>6462126</v>
      </c>
      <c r="N2" s="593">
        <v>6.2</v>
      </c>
      <c r="O2" s="758">
        <v>6464899.5</v>
      </c>
      <c r="P2" s="593">
        <v>6.21</v>
      </c>
      <c r="Q2" s="757">
        <v>6451112.6299999999</v>
      </c>
      <c r="R2" s="798">
        <v>6.19</v>
      </c>
      <c r="S2" s="758">
        <v>6470511</v>
      </c>
      <c r="T2" s="593">
        <v>6.21</v>
      </c>
      <c r="U2" s="757">
        <v>6472071.2599999998</v>
      </c>
      <c r="V2" s="798">
        <v>6.2</v>
      </c>
      <c r="W2" s="757">
        <v>6467135.71</v>
      </c>
      <c r="X2" s="798">
        <v>6.2</v>
      </c>
      <c r="Y2" s="757">
        <v>6469811.1799999997</v>
      </c>
      <c r="Z2" s="798">
        <v>6.21</v>
      </c>
      <c r="AA2" s="758">
        <v>6468898.5</v>
      </c>
      <c r="AB2" s="593">
        <v>6.21</v>
      </c>
      <c r="AC2" s="758">
        <v>6471801</v>
      </c>
      <c r="AD2" s="593">
        <v>6.21</v>
      </c>
      <c r="AE2" s="758">
        <v>6480379.5</v>
      </c>
      <c r="AF2" s="593">
        <v>6.21</v>
      </c>
      <c r="AG2" s="758">
        <v>6486203.8499999996</v>
      </c>
      <c r="AH2" s="593">
        <v>6.22</v>
      </c>
      <c r="AI2" s="758">
        <v>6491796</v>
      </c>
      <c r="AJ2" s="593">
        <v>6.22</v>
      </c>
      <c r="AK2" s="758">
        <v>6498763.29</v>
      </c>
      <c r="AL2" s="593">
        <v>6.23</v>
      </c>
      <c r="AM2" s="758">
        <v>6497536.5</v>
      </c>
      <c r="AN2" s="593">
        <v>6.22</v>
      </c>
      <c r="AO2" s="758">
        <v>6506179.5</v>
      </c>
      <c r="AP2" s="593">
        <v>6.22</v>
      </c>
      <c r="AQ2" s="758">
        <v>6518047.5</v>
      </c>
      <c r="AR2" s="593">
        <v>6.24</v>
      </c>
      <c r="AS2" s="758">
        <v>6521014.5</v>
      </c>
      <c r="AT2" s="593">
        <v>6.24</v>
      </c>
      <c r="AU2" s="758">
        <v>6521401.5</v>
      </c>
      <c r="AV2" s="593">
        <v>6.23</v>
      </c>
    </row>
    <row r="3" spans="1:48">
      <c r="A3" s="418" t="s">
        <v>123</v>
      </c>
      <c r="B3" s="58" t="s">
        <v>15</v>
      </c>
      <c r="C3" s="758">
        <v>4647498.72</v>
      </c>
      <c r="D3" s="200">
        <v>4.45</v>
      </c>
      <c r="E3" s="758">
        <v>4649260.08</v>
      </c>
      <c r="F3" s="593">
        <v>4.4400000000000004</v>
      </c>
      <c r="G3" s="758">
        <v>4650978.4800000004</v>
      </c>
      <c r="H3" s="593">
        <v>4.4799999999999995</v>
      </c>
      <c r="I3" s="758">
        <v>4652739.84</v>
      </c>
      <c r="J3" s="593">
        <v>4.4799999999999995</v>
      </c>
      <c r="K3" s="758">
        <v>4657980.96</v>
      </c>
      <c r="L3" s="593">
        <v>4.4799999999999995</v>
      </c>
      <c r="M3" s="758">
        <v>4659699.3600000003</v>
      </c>
      <c r="N3" s="593">
        <v>4.47</v>
      </c>
      <c r="O3" s="758">
        <v>4661460.72</v>
      </c>
      <c r="P3" s="593">
        <v>4.4800000000000004</v>
      </c>
      <c r="Q3" s="758">
        <v>4663179.12</v>
      </c>
      <c r="R3" s="593">
        <v>4.47</v>
      </c>
      <c r="S3" s="758">
        <v>4664940.4800000004</v>
      </c>
      <c r="T3" s="593">
        <v>4.4800000000000004</v>
      </c>
      <c r="U3" s="758">
        <v>4670181.5999999996</v>
      </c>
      <c r="V3" s="593">
        <v>4.47</v>
      </c>
      <c r="W3" s="758">
        <v>4672157.76</v>
      </c>
      <c r="X3" s="593">
        <v>4.4800000000000004</v>
      </c>
      <c r="Y3" s="758">
        <v>4673876.16</v>
      </c>
      <c r="Z3" s="593">
        <v>4.49</v>
      </c>
      <c r="AA3" s="758">
        <v>4675594.5599999996</v>
      </c>
      <c r="AB3" s="593">
        <v>4.49</v>
      </c>
      <c r="AC3" s="758">
        <v>4677312.96</v>
      </c>
      <c r="AD3" s="593">
        <v>4.49</v>
      </c>
      <c r="AE3" s="758">
        <v>4682425.2</v>
      </c>
      <c r="AF3" s="593">
        <v>4.4800000000000004</v>
      </c>
      <c r="AG3" s="758">
        <v>4684143.5999999996</v>
      </c>
      <c r="AH3" s="593">
        <v>4.49</v>
      </c>
      <c r="AI3" s="758"/>
      <c r="AJ3" s="593">
        <v>0</v>
      </c>
      <c r="AK3" s="758">
        <v>5014380.5199999996</v>
      </c>
      <c r="AL3" s="593">
        <v>4.8099999999999996</v>
      </c>
      <c r="AM3" s="758">
        <v>5016601.74</v>
      </c>
      <c r="AN3" s="593">
        <v>4.8</v>
      </c>
      <c r="AO3" s="758">
        <v>5023218.1399999997</v>
      </c>
      <c r="AP3" s="593">
        <v>4.8</v>
      </c>
      <c r="AQ3" s="758">
        <v>5026951.68</v>
      </c>
      <c r="AR3" s="593">
        <v>4.8099999999999996</v>
      </c>
      <c r="AS3" s="757">
        <v>5005781.09</v>
      </c>
      <c r="AT3" s="798">
        <v>4.79</v>
      </c>
      <c r="AU3" s="758">
        <v>5033095.4800000004</v>
      </c>
      <c r="AV3" s="593">
        <v>4.8</v>
      </c>
    </row>
    <row r="4" spans="1:48">
      <c r="A4" s="418" t="s">
        <v>115</v>
      </c>
      <c r="B4" s="58" t="s">
        <v>15</v>
      </c>
      <c r="C4" s="746">
        <v>9742548.5500000007</v>
      </c>
      <c r="D4" s="723">
        <v>9.31</v>
      </c>
      <c r="E4" s="746">
        <v>9746462.5299999993</v>
      </c>
      <c r="F4" s="799">
        <v>9.32</v>
      </c>
      <c r="G4" s="746">
        <v>9750283.3200000003</v>
      </c>
      <c r="H4" s="799">
        <v>9.3800000000000008</v>
      </c>
      <c r="I4" s="746">
        <v>9754197.3000000007</v>
      </c>
      <c r="J4" s="799">
        <v>9.3699999999999992</v>
      </c>
      <c r="K4" s="746">
        <v>9765846.0500000007</v>
      </c>
      <c r="L4" s="799">
        <v>9.3699999999999992</v>
      </c>
      <c r="M4" s="746">
        <v>9768175.8000000007</v>
      </c>
      <c r="N4" s="799">
        <v>9.3699999999999992</v>
      </c>
      <c r="O4" s="746">
        <v>9772089.7799999993</v>
      </c>
      <c r="P4" s="799">
        <v>9.3800000000000008</v>
      </c>
      <c r="Q4" s="746">
        <v>9776003.7599999998</v>
      </c>
      <c r="R4" s="799">
        <v>9.3800000000000008</v>
      </c>
      <c r="S4" s="746">
        <v>9779917.7400000002</v>
      </c>
      <c r="T4" s="799">
        <v>9.3800000000000008</v>
      </c>
      <c r="U4" s="746">
        <v>9791566.4900000002</v>
      </c>
      <c r="V4" s="799">
        <v>9.3800000000000008</v>
      </c>
      <c r="W4" s="746">
        <v>9795014.5199999996</v>
      </c>
      <c r="X4" s="799">
        <v>9.39</v>
      </c>
      <c r="Y4" s="746">
        <v>9798928.5</v>
      </c>
      <c r="Z4" s="799">
        <v>9.4</v>
      </c>
      <c r="AA4" s="746">
        <v>9802842.4800000004</v>
      </c>
      <c r="AB4" s="799">
        <v>9.41</v>
      </c>
      <c r="AC4" s="746">
        <v>9806849.6500000004</v>
      </c>
      <c r="AD4" s="799">
        <v>9.41</v>
      </c>
      <c r="AE4" s="746">
        <v>9818684.7799999993</v>
      </c>
      <c r="AF4" s="799">
        <v>9.41</v>
      </c>
      <c r="AG4" s="746">
        <v>9824276.1799999997</v>
      </c>
      <c r="AH4" s="799">
        <v>9.41</v>
      </c>
      <c r="AI4" s="746">
        <v>9828190.1600000001</v>
      </c>
      <c r="AJ4" s="799">
        <v>9.42</v>
      </c>
      <c r="AK4" s="746">
        <v>9832104.1400000006</v>
      </c>
      <c r="AL4" s="799">
        <v>9.43</v>
      </c>
      <c r="AM4" s="746">
        <v>9836018.1199999992</v>
      </c>
      <c r="AN4" s="799">
        <v>9.42</v>
      </c>
      <c r="AO4" s="746">
        <v>9847760.0600000005</v>
      </c>
      <c r="AP4" s="799">
        <v>9.41</v>
      </c>
      <c r="AQ4" s="746">
        <v>9855960.7799999993</v>
      </c>
      <c r="AR4" s="799">
        <v>9.43</v>
      </c>
      <c r="AS4" s="746">
        <v>9859688.3800000008</v>
      </c>
      <c r="AT4" s="799">
        <v>9.43</v>
      </c>
      <c r="AU4" s="746">
        <v>9866491.25</v>
      </c>
      <c r="AV4" s="799">
        <v>9.42</v>
      </c>
    </row>
    <row r="5" spans="1:48">
      <c r="A5" s="418" t="s">
        <v>118</v>
      </c>
      <c r="B5" s="58" t="s">
        <v>15</v>
      </c>
      <c r="C5" s="745">
        <v>8484528</v>
      </c>
      <c r="D5" s="723">
        <v>8.11</v>
      </c>
      <c r="E5" s="745">
        <v>8488038</v>
      </c>
      <c r="F5" s="799">
        <v>8.11</v>
      </c>
      <c r="G5" s="745">
        <v>8491548</v>
      </c>
      <c r="H5" s="799">
        <v>8.17</v>
      </c>
      <c r="I5" s="745">
        <v>8495058</v>
      </c>
      <c r="J5" s="799">
        <v>8.16</v>
      </c>
      <c r="K5" s="745">
        <v>8505588</v>
      </c>
      <c r="L5" s="799">
        <v>8.16</v>
      </c>
      <c r="M5" s="745">
        <v>8505432</v>
      </c>
      <c r="N5" s="799">
        <v>8.16</v>
      </c>
      <c r="O5" s="745">
        <v>8508942</v>
      </c>
      <c r="P5" s="799">
        <v>8.17</v>
      </c>
      <c r="Q5" s="745">
        <v>8512452</v>
      </c>
      <c r="R5" s="799">
        <v>8.17</v>
      </c>
      <c r="S5" s="745">
        <v>8516040</v>
      </c>
      <c r="T5" s="799">
        <v>8.17</v>
      </c>
      <c r="U5" s="745">
        <v>8526648</v>
      </c>
      <c r="V5" s="799">
        <v>8.17</v>
      </c>
      <c r="W5" s="745">
        <v>8521422</v>
      </c>
      <c r="X5" s="799">
        <v>8.17</v>
      </c>
      <c r="Y5" s="745">
        <v>8525088</v>
      </c>
      <c r="Z5" s="799">
        <v>8.18</v>
      </c>
      <c r="AA5" s="745">
        <v>8528676</v>
      </c>
      <c r="AB5" s="799">
        <v>8.19</v>
      </c>
      <c r="AC5" s="745">
        <v>8532342</v>
      </c>
      <c r="AD5" s="799">
        <v>8.18</v>
      </c>
      <c r="AE5" s="745">
        <v>8543184</v>
      </c>
      <c r="AF5" s="799">
        <v>8.19</v>
      </c>
      <c r="AG5" s="745">
        <v>8551296</v>
      </c>
      <c r="AH5" s="799">
        <v>8.19</v>
      </c>
      <c r="AI5" s="745">
        <v>8554884</v>
      </c>
      <c r="AJ5" s="799">
        <v>8.1999999999999993</v>
      </c>
      <c r="AK5" s="745">
        <v>8558550</v>
      </c>
      <c r="AL5" s="799">
        <v>8.1999999999999993</v>
      </c>
      <c r="AM5" s="745">
        <v>8562138</v>
      </c>
      <c r="AN5" s="799">
        <v>8.1999999999999993</v>
      </c>
      <c r="AO5" s="745">
        <v>8572902</v>
      </c>
      <c r="AP5" s="799">
        <v>8.1999999999999993</v>
      </c>
      <c r="AQ5" s="745">
        <v>8588658</v>
      </c>
      <c r="AR5" s="799">
        <v>8.2200000000000006</v>
      </c>
      <c r="AS5" s="745">
        <v>7905768</v>
      </c>
      <c r="AT5" s="799">
        <v>7.56</v>
      </c>
      <c r="AU5" s="745">
        <v>7906236</v>
      </c>
      <c r="AV5" s="799">
        <v>7.55</v>
      </c>
    </row>
    <row r="6" spans="1:48">
      <c r="A6" s="477" t="s">
        <v>124</v>
      </c>
      <c r="B6" s="58" t="s">
        <v>15</v>
      </c>
      <c r="C6" s="746">
        <v>7998243.5</v>
      </c>
      <c r="D6" s="723">
        <v>7.64</v>
      </c>
      <c r="E6" s="746">
        <v>8001571.54</v>
      </c>
      <c r="F6" s="799">
        <v>7.65</v>
      </c>
      <c r="G6" s="755">
        <v>7881607.96</v>
      </c>
      <c r="H6" s="818">
        <v>7.58</v>
      </c>
      <c r="I6" s="746">
        <v>8008402.7800000003</v>
      </c>
      <c r="J6" s="799">
        <v>7.69</v>
      </c>
      <c r="K6" s="746">
        <v>8018474.4800000004</v>
      </c>
      <c r="L6" s="799">
        <v>7.69</v>
      </c>
      <c r="M6" s="746">
        <v>8004111.3600000003</v>
      </c>
      <c r="N6" s="799">
        <v>7.68</v>
      </c>
      <c r="O6" s="755">
        <v>7902485.2800000003</v>
      </c>
      <c r="P6" s="818">
        <v>7.59</v>
      </c>
      <c r="Q6" s="746">
        <v>8010942.5999999996</v>
      </c>
      <c r="R6" s="799">
        <v>7.68</v>
      </c>
      <c r="S6" s="746">
        <v>8014358.2199999997</v>
      </c>
      <c r="T6" s="799">
        <v>7.69</v>
      </c>
      <c r="U6" s="746">
        <v>8024605.0800000001</v>
      </c>
      <c r="V6" s="799">
        <v>7.69</v>
      </c>
      <c r="W6" s="746">
        <v>7998155.9199999999</v>
      </c>
      <c r="X6" s="799">
        <v>7.67</v>
      </c>
      <c r="Y6" s="746">
        <v>8001483.96</v>
      </c>
      <c r="Z6" s="799">
        <v>7.68</v>
      </c>
      <c r="AA6" s="755">
        <v>7930612.4699999997</v>
      </c>
      <c r="AB6" s="818">
        <v>7.61</v>
      </c>
      <c r="AC6" s="746">
        <v>8008227.6200000001</v>
      </c>
      <c r="AD6" s="799">
        <v>7.68</v>
      </c>
      <c r="AE6" s="746">
        <v>8018386.9000000004</v>
      </c>
      <c r="AF6" s="799">
        <v>7.68</v>
      </c>
      <c r="AG6" s="746">
        <v>8018036.5800000001</v>
      </c>
      <c r="AH6" s="799">
        <v>7.68</v>
      </c>
      <c r="AI6" s="746">
        <v>7951664.0800000001</v>
      </c>
      <c r="AJ6" s="799">
        <v>7.62</v>
      </c>
      <c r="AK6" s="746">
        <v>7942909.5800000001</v>
      </c>
      <c r="AL6" s="799">
        <v>7.61</v>
      </c>
      <c r="AM6" s="746">
        <v>8028371.0199999996</v>
      </c>
      <c r="AN6" s="799">
        <v>7.69</v>
      </c>
      <c r="AO6" s="746">
        <v>8038793.04</v>
      </c>
      <c r="AP6" s="799">
        <v>7.69</v>
      </c>
      <c r="AQ6" s="755">
        <v>7972541.4000000004</v>
      </c>
      <c r="AR6" s="818">
        <v>7.63</v>
      </c>
      <c r="AS6" s="746">
        <v>8011468.0800000001</v>
      </c>
      <c r="AT6" s="799">
        <v>7.66</v>
      </c>
      <c r="AU6" s="746">
        <v>8039406.0999999996</v>
      </c>
      <c r="AV6" s="799">
        <v>7.67</v>
      </c>
    </row>
    <row r="7" spans="1:48">
      <c r="A7" s="418" t="s">
        <v>130</v>
      </c>
      <c r="B7" s="58" t="s">
        <v>15</v>
      </c>
      <c r="C7" s="746">
        <v>8957573</v>
      </c>
      <c r="D7" s="723">
        <v>8.56</v>
      </c>
      <c r="E7" s="746">
        <v>8961286</v>
      </c>
      <c r="F7" s="799">
        <v>8.57</v>
      </c>
      <c r="G7" s="746">
        <v>8964999</v>
      </c>
      <c r="H7" s="799">
        <v>8.6199999999999992</v>
      </c>
      <c r="I7" s="746">
        <v>8968791</v>
      </c>
      <c r="J7" s="799">
        <v>8.61</v>
      </c>
      <c r="K7" s="746">
        <v>8980009</v>
      </c>
      <c r="L7" s="799">
        <v>8.61</v>
      </c>
      <c r="M7" s="746">
        <v>8965394</v>
      </c>
      <c r="N7" s="799">
        <v>8.6</v>
      </c>
      <c r="O7" s="746">
        <v>8238436</v>
      </c>
      <c r="P7" s="799">
        <v>7.91</v>
      </c>
      <c r="Q7" s="746">
        <v>8241912</v>
      </c>
      <c r="R7" s="799">
        <v>7.91</v>
      </c>
      <c r="S7" s="755">
        <v>8146768.3499999996</v>
      </c>
      <c r="T7" s="818">
        <v>7.82</v>
      </c>
      <c r="U7" s="746">
        <v>8255895</v>
      </c>
      <c r="V7" s="799">
        <v>7.91</v>
      </c>
      <c r="W7" s="746">
        <v>8231642</v>
      </c>
      <c r="X7" s="799">
        <v>7.89</v>
      </c>
      <c r="Y7" s="746">
        <v>8235039</v>
      </c>
      <c r="Z7" s="799">
        <v>7.9</v>
      </c>
      <c r="AA7" s="746">
        <v>8238515</v>
      </c>
      <c r="AB7" s="799">
        <v>7.91</v>
      </c>
      <c r="AC7" s="746">
        <v>8241912</v>
      </c>
      <c r="AD7" s="799">
        <v>7.9</v>
      </c>
      <c r="AE7" s="746">
        <v>8252261</v>
      </c>
      <c r="AF7" s="799">
        <v>7.91</v>
      </c>
      <c r="AG7" s="746">
        <v>8250207</v>
      </c>
      <c r="AH7" s="799">
        <v>7.9</v>
      </c>
      <c r="AI7" s="746">
        <v>8253762</v>
      </c>
      <c r="AJ7" s="799">
        <v>7.91</v>
      </c>
      <c r="AK7" s="746">
        <v>8193513.4400000004</v>
      </c>
      <c r="AL7" s="799">
        <v>7.85</v>
      </c>
      <c r="AM7" s="755">
        <v>8197055.0099999998</v>
      </c>
      <c r="AN7" s="818">
        <v>7.85</v>
      </c>
      <c r="AO7" s="746">
        <v>8271379</v>
      </c>
      <c r="AP7" s="799">
        <v>7.91</v>
      </c>
      <c r="AQ7" s="746">
        <v>8238515</v>
      </c>
      <c r="AR7" s="799">
        <v>7.89</v>
      </c>
      <c r="AS7" s="746">
        <v>8242149</v>
      </c>
      <c r="AT7" s="799">
        <v>7.89</v>
      </c>
      <c r="AU7" s="746">
        <v>8270431</v>
      </c>
      <c r="AV7" s="799">
        <v>7.8999999999999995</v>
      </c>
    </row>
    <row r="8" spans="1:48">
      <c r="A8" s="418" t="s">
        <v>119</v>
      </c>
      <c r="B8" s="58" t="s">
        <v>15</v>
      </c>
      <c r="C8" s="746">
        <v>5394906</v>
      </c>
      <c r="D8" s="723">
        <v>5.16</v>
      </c>
      <c r="E8" s="746">
        <v>5397183</v>
      </c>
      <c r="F8" s="799">
        <v>5.16</v>
      </c>
      <c r="G8" s="746">
        <v>5399410.5</v>
      </c>
      <c r="H8" s="799">
        <v>5.19</v>
      </c>
      <c r="I8" s="746">
        <v>5401638</v>
      </c>
      <c r="J8" s="799">
        <v>5.1800000000000006</v>
      </c>
      <c r="K8" s="746">
        <v>5408370</v>
      </c>
      <c r="L8" s="799">
        <v>5.19</v>
      </c>
      <c r="M8" s="746">
        <v>5250323.92</v>
      </c>
      <c r="N8" s="799">
        <v>5.18</v>
      </c>
      <c r="O8" s="746">
        <v>5400994.5</v>
      </c>
      <c r="P8" s="799">
        <v>5.1800000000000006</v>
      </c>
      <c r="Q8" s="746">
        <v>5403271.5</v>
      </c>
      <c r="R8" s="799">
        <v>5.18</v>
      </c>
      <c r="S8" s="746">
        <v>5405499</v>
      </c>
      <c r="T8" s="799">
        <v>5.19</v>
      </c>
      <c r="U8" s="746">
        <v>5412280.5</v>
      </c>
      <c r="V8" s="799">
        <v>5.1899999999999995</v>
      </c>
      <c r="W8" s="746">
        <v>5399707.5</v>
      </c>
      <c r="X8" s="799">
        <v>5.17</v>
      </c>
      <c r="Y8" s="746">
        <v>5401935</v>
      </c>
      <c r="Z8" s="799">
        <v>5.18</v>
      </c>
      <c r="AA8" s="746">
        <v>5404162.5</v>
      </c>
      <c r="AB8" s="799">
        <v>5.19</v>
      </c>
      <c r="AC8" s="746">
        <v>5406340.5</v>
      </c>
      <c r="AD8" s="799">
        <v>5.19</v>
      </c>
      <c r="AE8" s="746">
        <v>5413023</v>
      </c>
      <c r="AF8" s="799">
        <v>5.19</v>
      </c>
      <c r="AG8" s="746">
        <v>5409756</v>
      </c>
      <c r="AH8" s="799">
        <v>5.18</v>
      </c>
      <c r="AI8" s="746">
        <v>5412033</v>
      </c>
      <c r="AJ8" s="799">
        <v>5.1800000000000006</v>
      </c>
      <c r="AK8" s="746">
        <v>5414310</v>
      </c>
      <c r="AL8" s="799">
        <v>5.19</v>
      </c>
      <c r="AM8" s="746">
        <v>5416537.5</v>
      </c>
      <c r="AN8" s="799">
        <v>5.19</v>
      </c>
      <c r="AO8" s="746">
        <v>5423368.5</v>
      </c>
      <c r="AP8" s="799">
        <v>5.19</v>
      </c>
      <c r="AQ8" s="755">
        <v>5371134.6200000001</v>
      </c>
      <c r="AR8" s="818">
        <v>5.14</v>
      </c>
      <c r="AS8" s="755">
        <v>5373514.5700000003</v>
      </c>
      <c r="AT8" s="818">
        <v>5.14</v>
      </c>
      <c r="AU8" s="746">
        <v>5420794.5</v>
      </c>
      <c r="AV8" s="799">
        <v>5.17</v>
      </c>
    </row>
    <row r="9" spans="1:48" ht="16.5" thickBot="1">
      <c r="A9" s="1020" t="s">
        <v>113</v>
      </c>
      <c r="B9" s="1048"/>
      <c r="C9" s="444">
        <f t="shared" ref="C9:D9" si="0">SUM(C2:C8)</f>
        <v>51644460.32</v>
      </c>
      <c r="D9" s="639">
        <f t="shared" si="0"/>
        <v>49.36</v>
      </c>
      <c r="E9" s="444">
        <f t="shared" ref="E9:F9" si="1">SUM(E2:E8)</f>
        <v>51665639.159999996</v>
      </c>
      <c r="F9" s="639">
        <f t="shared" si="1"/>
        <v>49.39</v>
      </c>
      <c r="G9" s="444">
        <f t="shared" ref="G9:H9" si="2">SUM(G2:G8)</f>
        <v>51563430.380000003</v>
      </c>
      <c r="H9" s="639">
        <f t="shared" si="2"/>
        <v>49.599999999999994</v>
      </c>
      <c r="I9" s="444">
        <f t="shared" ref="I9:J9" si="3">SUM(I2:I8)</f>
        <v>51713241</v>
      </c>
      <c r="J9" s="639">
        <f t="shared" si="3"/>
        <v>49.67</v>
      </c>
      <c r="K9" s="444">
        <f t="shared" ref="K9:L9" si="4">SUM(K2:K8)</f>
        <v>51779354.090000004</v>
      </c>
      <c r="L9" s="639">
        <f t="shared" si="4"/>
        <v>49.68</v>
      </c>
      <c r="M9" s="444">
        <f t="shared" ref="M9:N9" si="5">SUM(M2:M8)</f>
        <v>51615262.440000005</v>
      </c>
      <c r="N9" s="639">
        <f t="shared" si="5"/>
        <v>49.66</v>
      </c>
      <c r="O9" s="444">
        <f t="shared" ref="O9:P9" si="6">SUM(O2:O8)</f>
        <v>50949307.780000001</v>
      </c>
      <c r="P9" s="639">
        <f t="shared" si="6"/>
        <v>48.919999999999995</v>
      </c>
      <c r="Q9" s="444">
        <f t="shared" ref="Q9:R9" si="7">SUM(Q2:Q8)</f>
        <v>51058873.609999999</v>
      </c>
      <c r="R9" s="639">
        <f t="shared" si="7"/>
        <v>48.98</v>
      </c>
      <c r="S9" s="444">
        <f t="shared" ref="S9:T9" si="8">SUM(S2:S8)</f>
        <v>50998034.789999999</v>
      </c>
      <c r="T9" s="639">
        <f t="shared" si="8"/>
        <v>48.94</v>
      </c>
      <c r="U9" s="444">
        <f t="shared" ref="U9:V9" si="9">SUM(U2:U8)</f>
        <v>51153247.93</v>
      </c>
      <c r="V9" s="639">
        <f t="shared" si="9"/>
        <v>49.009999999999991</v>
      </c>
      <c r="W9" s="444">
        <f t="shared" ref="W9:X9" si="10">SUM(W2:W8)</f>
        <v>51085235.409999996</v>
      </c>
      <c r="X9" s="639">
        <f t="shared" si="10"/>
        <v>48.970000000000006</v>
      </c>
      <c r="Y9" s="444">
        <f t="shared" ref="Y9:Z9" si="11">SUM(Y2:Y8)</f>
        <v>51106161.799999997</v>
      </c>
      <c r="Z9" s="639">
        <f t="shared" si="11"/>
        <v>49.04</v>
      </c>
      <c r="AA9" s="444">
        <f t="shared" ref="AA9:AB9" si="12">SUM(AA2:AA8)</f>
        <v>51049301.509999998</v>
      </c>
      <c r="AB9" s="639">
        <f t="shared" si="12"/>
        <v>49.009999999999991</v>
      </c>
      <c r="AC9" s="444">
        <f t="shared" ref="AC9:AD9" si="13">SUM(AC2:AC8)</f>
        <v>51144785.729999997</v>
      </c>
      <c r="AD9" s="639">
        <f t="shared" si="13"/>
        <v>49.059999999999995</v>
      </c>
      <c r="AE9" s="444">
        <f t="shared" ref="AE9:AF9" si="14">SUM(AE2:AE8)</f>
        <v>51208344.379999995</v>
      </c>
      <c r="AF9" s="639">
        <f t="shared" si="14"/>
        <v>49.069999999999993</v>
      </c>
      <c r="AG9" s="444">
        <f t="shared" ref="AG9:AH9" si="15">SUM(AG2:AG8)</f>
        <v>51223919.210000001</v>
      </c>
      <c r="AH9" s="639">
        <f t="shared" si="15"/>
        <v>49.07</v>
      </c>
      <c r="AI9" s="444">
        <f t="shared" ref="AI9:AJ9" si="16">SUM(AI2:AI8)</f>
        <v>46492329.240000002</v>
      </c>
      <c r="AJ9" s="639">
        <f t="shared" si="16"/>
        <v>44.550000000000004</v>
      </c>
      <c r="AK9" s="444">
        <f t="shared" ref="AK9:AL9" si="17">SUM(AK2:AK8)</f>
        <v>51454530.969999999</v>
      </c>
      <c r="AL9" s="639">
        <f t="shared" si="17"/>
        <v>49.32</v>
      </c>
      <c r="AM9" s="444">
        <f t="shared" ref="AM9:AN9" si="18">SUM(AM2:AM8)</f>
        <v>51554257.889999993</v>
      </c>
      <c r="AN9" s="639">
        <f t="shared" si="18"/>
        <v>49.37</v>
      </c>
      <c r="AO9" s="444">
        <f t="shared" ref="AO9:AP9" si="19">SUM(AO2:AO8)</f>
        <v>51683600.240000002</v>
      </c>
      <c r="AP9" s="639">
        <f t="shared" si="19"/>
        <v>49.42</v>
      </c>
      <c r="AQ9" s="444">
        <f t="shared" ref="AQ9:AR9" si="20">SUM(AQ2:AQ8)</f>
        <v>51571808.979999997</v>
      </c>
      <c r="AR9" s="639">
        <f t="shared" si="20"/>
        <v>49.360000000000007</v>
      </c>
      <c r="AS9" s="444">
        <f t="shared" ref="AS9:AT9" si="21">SUM(AS2:AS8)</f>
        <v>50919383.619999997</v>
      </c>
      <c r="AT9" s="639">
        <f t="shared" si="21"/>
        <v>48.71</v>
      </c>
      <c r="AU9" s="444">
        <f t="shared" ref="AU9:AV9" si="22">SUM(AU2:AU8)</f>
        <v>51057855.829999998</v>
      </c>
      <c r="AV9" s="639">
        <f t="shared" si="22"/>
        <v>48.74</v>
      </c>
    </row>
    <row r="10" spans="1:48" ht="15">
      <c r="A10" s="419" t="s">
        <v>25</v>
      </c>
      <c r="B10" s="422" t="s">
        <v>26</v>
      </c>
      <c r="C10" s="762">
        <v>3804139.23</v>
      </c>
      <c r="D10" s="200">
        <v>3.64</v>
      </c>
      <c r="E10" s="800">
        <v>3805636.58</v>
      </c>
      <c r="F10" s="593">
        <v>3.64</v>
      </c>
      <c r="G10" s="800">
        <v>3807134.68</v>
      </c>
      <c r="H10" s="593">
        <v>3.66</v>
      </c>
      <c r="I10" s="800">
        <v>3808633.16</v>
      </c>
      <c r="J10" s="593">
        <v>3.66</v>
      </c>
      <c r="K10" s="800">
        <v>3813132.77</v>
      </c>
      <c r="L10" s="593">
        <v>3.66</v>
      </c>
      <c r="M10" s="800">
        <v>3814633.53</v>
      </c>
      <c r="N10" s="593">
        <v>3.66</v>
      </c>
      <c r="O10" s="800">
        <v>3816135.41</v>
      </c>
      <c r="P10" s="593">
        <v>3.66</v>
      </c>
      <c r="Q10" s="800">
        <v>3817637.29</v>
      </c>
      <c r="R10" s="593">
        <v>3.66</v>
      </c>
      <c r="S10" s="800">
        <v>3819140.32</v>
      </c>
      <c r="T10" s="593">
        <v>3.66</v>
      </c>
      <c r="U10" s="800">
        <v>3823652.04</v>
      </c>
      <c r="V10" s="593">
        <v>3.66</v>
      </c>
      <c r="W10" s="800">
        <v>3825157.34</v>
      </c>
      <c r="X10" s="593">
        <v>3.67</v>
      </c>
      <c r="Y10" s="800">
        <v>3826663.01</v>
      </c>
      <c r="Z10" s="593">
        <v>3.67</v>
      </c>
      <c r="AA10" s="800">
        <v>3828169.06</v>
      </c>
      <c r="AB10" s="593">
        <v>3.6700000000000004</v>
      </c>
      <c r="AC10" s="800">
        <v>3829676.25</v>
      </c>
      <c r="AD10" s="593">
        <v>3.67</v>
      </c>
      <c r="AE10" s="800">
        <v>3834200.46</v>
      </c>
      <c r="AF10" s="593">
        <v>3.67</v>
      </c>
      <c r="AG10" s="800">
        <v>3835709.92</v>
      </c>
      <c r="AH10" s="593">
        <v>3.67</v>
      </c>
      <c r="AI10" s="800">
        <v>3837219.75</v>
      </c>
      <c r="AJ10" s="593">
        <v>3.68</v>
      </c>
      <c r="AK10" s="800">
        <v>3838729.97</v>
      </c>
      <c r="AL10" s="593">
        <v>3.68</v>
      </c>
      <c r="AM10" s="800">
        <v>3840241.32</v>
      </c>
      <c r="AN10" s="593">
        <v>3.68</v>
      </c>
      <c r="AO10" s="800">
        <v>3844778.02</v>
      </c>
      <c r="AP10" s="593">
        <v>3.68</v>
      </c>
      <c r="AQ10" s="800">
        <v>3846291.26</v>
      </c>
      <c r="AR10" s="593">
        <v>3.68</v>
      </c>
      <c r="AS10" s="800">
        <v>3847805.64</v>
      </c>
      <c r="AT10" s="593">
        <v>3.68</v>
      </c>
      <c r="AU10" s="800">
        <v>3849320.02</v>
      </c>
      <c r="AV10" s="593">
        <v>3.67</v>
      </c>
    </row>
    <row r="11" spans="1:48" ht="15">
      <c r="A11" s="419" t="s">
        <v>116</v>
      </c>
      <c r="B11" s="422" t="s">
        <v>117</v>
      </c>
      <c r="C11" s="762">
        <v>2406041.58</v>
      </c>
      <c r="D11" s="200">
        <v>2.2999999999999998</v>
      </c>
      <c r="E11" s="800">
        <v>2407139.23</v>
      </c>
      <c r="F11" s="593">
        <v>2.2999999999999998</v>
      </c>
      <c r="G11" s="800">
        <v>2408237.36</v>
      </c>
      <c r="H11" s="593">
        <v>2.3199999999999998</v>
      </c>
      <c r="I11" s="800">
        <v>2409336.2000000002</v>
      </c>
      <c r="J11" s="593">
        <v>2.31</v>
      </c>
      <c r="K11" s="800">
        <v>2412635.13</v>
      </c>
      <c r="L11" s="593">
        <v>2.31</v>
      </c>
      <c r="M11" s="800">
        <v>2413735.89</v>
      </c>
      <c r="N11" s="593">
        <v>2.3199999999999998</v>
      </c>
      <c r="O11" s="800">
        <v>2414837.14</v>
      </c>
      <c r="P11" s="593">
        <v>2.3199999999999998</v>
      </c>
      <c r="Q11" s="800">
        <v>2415938.86</v>
      </c>
      <c r="R11" s="593">
        <v>2.3199999999999998</v>
      </c>
      <c r="S11" s="800">
        <v>2417041.0499999998</v>
      </c>
      <c r="T11" s="593">
        <v>2.3199999999999998</v>
      </c>
      <c r="U11" s="800">
        <v>2420350.52</v>
      </c>
      <c r="V11" s="593">
        <v>2.3199999999999998</v>
      </c>
      <c r="W11" s="800">
        <v>2421454.87</v>
      </c>
      <c r="X11" s="593">
        <v>2.3199999999999998</v>
      </c>
      <c r="Y11" s="800">
        <v>2422559.46</v>
      </c>
      <c r="Z11" s="593">
        <v>2.3299999999999996</v>
      </c>
      <c r="AA11" s="800">
        <v>2423664.7799999998</v>
      </c>
      <c r="AB11" s="593">
        <v>2.33</v>
      </c>
      <c r="AC11" s="800">
        <v>2424770.5600000001</v>
      </c>
      <c r="AD11" s="593">
        <v>2.33</v>
      </c>
      <c r="AE11" s="800">
        <v>2428090.56</v>
      </c>
      <c r="AF11" s="593">
        <v>2.33</v>
      </c>
      <c r="AG11" s="800">
        <v>2429198.5</v>
      </c>
      <c r="AH11" s="593">
        <v>2.33</v>
      </c>
      <c r="AI11" s="800">
        <v>2430306.69</v>
      </c>
      <c r="AJ11" s="593">
        <v>2.33</v>
      </c>
      <c r="AK11" s="800">
        <v>2431415.34</v>
      </c>
      <c r="AL11" s="593">
        <v>2.33</v>
      </c>
      <c r="AM11" s="800">
        <v>2432524.7200000002</v>
      </c>
      <c r="AN11" s="593">
        <v>2.33</v>
      </c>
      <c r="AO11" s="800">
        <v>2435855.5</v>
      </c>
      <c r="AP11" s="593">
        <v>2.33</v>
      </c>
      <c r="AQ11" s="800">
        <v>2436966.79</v>
      </c>
      <c r="AR11" s="593">
        <v>2.33</v>
      </c>
      <c r="AS11" s="800">
        <v>2438078.5699999998</v>
      </c>
      <c r="AT11" s="593">
        <v>2.34</v>
      </c>
      <c r="AU11" s="800">
        <v>2439190.8199999998</v>
      </c>
      <c r="AV11" s="593">
        <v>2.33</v>
      </c>
    </row>
    <row r="12" spans="1:48" ht="15">
      <c r="A12" s="497"/>
      <c r="B12" s="498"/>
      <c r="C12" s="762">
        <v>0</v>
      </c>
      <c r="D12" s="200">
        <v>0</v>
      </c>
      <c r="E12" s="800">
        <v>0</v>
      </c>
      <c r="F12" s="593">
        <v>0</v>
      </c>
      <c r="G12" s="800">
        <v>0</v>
      </c>
      <c r="H12" s="593">
        <v>0</v>
      </c>
      <c r="I12" s="800">
        <v>0</v>
      </c>
      <c r="J12" s="593">
        <v>0</v>
      </c>
      <c r="K12" s="800">
        <v>0</v>
      </c>
      <c r="L12" s="593">
        <v>0</v>
      </c>
      <c r="M12" s="800">
        <v>0</v>
      </c>
      <c r="N12" s="593">
        <v>0</v>
      </c>
      <c r="O12" s="800">
        <v>0</v>
      </c>
      <c r="P12" s="593">
        <v>0</v>
      </c>
      <c r="Q12" s="800">
        <v>0</v>
      </c>
      <c r="R12" s="593">
        <v>0</v>
      </c>
      <c r="S12" s="800">
        <v>0</v>
      </c>
      <c r="T12" s="593">
        <v>0</v>
      </c>
      <c r="U12" s="800">
        <v>0</v>
      </c>
      <c r="V12" s="593">
        <v>0</v>
      </c>
      <c r="W12" s="800">
        <v>0</v>
      </c>
      <c r="X12" s="593">
        <v>0</v>
      </c>
      <c r="Y12" s="800">
        <v>0</v>
      </c>
      <c r="Z12" s="593">
        <v>0</v>
      </c>
      <c r="AA12" s="800">
        <v>0</v>
      </c>
      <c r="AB12" s="593">
        <v>0</v>
      </c>
      <c r="AC12" s="800">
        <v>0</v>
      </c>
      <c r="AD12" s="593">
        <v>0</v>
      </c>
      <c r="AE12" s="800">
        <v>0</v>
      </c>
      <c r="AF12" s="593">
        <v>0</v>
      </c>
      <c r="AG12" s="800">
        <v>0</v>
      </c>
      <c r="AH12" s="593">
        <v>0</v>
      </c>
      <c r="AI12" s="800">
        <v>0</v>
      </c>
      <c r="AJ12" s="593">
        <v>0</v>
      </c>
      <c r="AK12" s="800">
        <v>0</v>
      </c>
      <c r="AL12" s="593">
        <v>0</v>
      </c>
      <c r="AM12" s="800">
        <v>0</v>
      </c>
      <c r="AN12" s="593">
        <v>0</v>
      </c>
      <c r="AO12" s="800">
        <v>0</v>
      </c>
      <c r="AP12" s="593">
        <v>0</v>
      </c>
      <c r="AQ12" s="800">
        <v>0</v>
      </c>
      <c r="AR12" s="593">
        <v>0</v>
      </c>
      <c r="AS12" s="800">
        <v>0</v>
      </c>
      <c r="AT12" s="593">
        <v>0</v>
      </c>
      <c r="AU12" s="800">
        <v>0</v>
      </c>
      <c r="AV12" s="593">
        <v>0</v>
      </c>
    </row>
    <row r="13" spans="1:48" ht="15">
      <c r="A13" s="420" t="s">
        <v>38</v>
      </c>
      <c r="B13" s="420" t="s">
        <v>39</v>
      </c>
      <c r="C13" s="762">
        <v>4145281.2</v>
      </c>
      <c r="D13" s="763">
        <v>3.96</v>
      </c>
      <c r="E13" s="800">
        <v>4147063.2</v>
      </c>
      <c r="F13" s="801">
        <v>3.96</v>
      </c>
      <c r="G13" s="800">
        <v>4148846.4</v>
      </c>
      <c r="H13" s="801">
        <v>3.99</v>
      </c>
      <c r="I13" s="800">
        <v>4150630</v>
      </c>
      <c r="J13" s="801">
        <v>3.9800000000000004</v>
      </c>
      <c r="K13" s="800">
        <v>4155985.6</v>
      </c>
      <c r="L13" s="801">
        <v>3.99</v>
      </c>
      <c r="M13" s="800">
        <v>4157772.4</v>
      </c>
      <c r="N13" s="801">
        <v>3.99</v>
      </c>
      <c r="O13" s="800">
        <v>4000000</v>
      </c>
      <c r="P13" s="801">
        <v>3.84</v>
      </c>
      <c r="Q13" s="800">
        <v>4001719.6</v>
      </c>
      <c r="R13" s="801">
        <v>3.84</v>
      </c>
      <c r="S13" s="800">
        <v>4003440</v>
      </c>
      <c r="T13" s="801">
        <v>3.84</v>
      </c>
      <c r="U13" s="800">
        <v>4008606</v>
      </c>
      <c r="V13" s="801">
        <v>3.84</v>
      </c>
      <c r="W13" s="800">
        <v>4010329.2</v>
      </c>
      <c r="X13" s="801">
        <v>3.84</v>
      </c>
      <c r="Y13" s="800">
        <v>4012053.6</v>
      </c>
      <c r="Z13" s="801">
        <v>3.85</v>
      </c>
      <c r="AA13" s="800">
        <v>4013778.4</v>
      </c>
      <c r="AB13" s="801">
        <v>3.85</v>
      </c>
      <c r="AC13" s="800">
        <v>4015504</v>
      </c>
      <c r="AD13" s="801">
        <v>3.85</v>
      </c>
      <c r="AE13" s="800">
        <v>4020685.2</v>
      </c>
      <c r="AF13" s="801">
        <v>3.85</v>
      </c>
      <c r="AG13" s="800">
        <v>4022414</v>
      </c>
      <c r="AH13" s="801">
        <v>3.85</v>
      </c>
      <c r="AI13" s="800">
        <v>4024143.2</v>
      </c>
      <c r="AJ13" s="801">
        <v>3.86</v>
      </c>
      <c r="AK13" s="800">
        <v>4025873.2</v>
      </c>
      <c r="AL13" s="801">
        <v>3.86</v>
      </c>
      <c r="AM13" s="800">
        <v>4027604.4</v>
      </c>
      <c r="AN13" s="801">
        <v>3.85</v>
      </c>
      <c r="AO13" s="800">
        <v>4032801.2</v>
      </c>
      <c r="AP13" s="801">
        <v>3.85</v>
      </c>
      <c r="AQ13" s="800">
        <v>4034534.8</v>
      </c>
      <c r="AR13" s="801">
        <v>3.86</v>
      </c>
      <c r="AS13" s="800">
        <v>4036269.6</v>
      </c>
      <c r="AT13" s="801">
        <v>3.86</v>
      </c>
      <c r="AU13" s="800">
        <v>4038004.8</v>
      </c>
      <c r="AV13" s="801">
        <v>3.85</v>
      </c>
    </row>
    <row r="14" spans="1:48" thickBot="1">
      <c r="A14" s="421" t="s">
        <v>98</v>
      </c>
      <c r="B14" s="421" t="s">
        <v>99</v>
      </c>
      <c r="C14" s="762">
        <v>3056345.1</v>
      </c>
      <c r="D14" s="200">
        <v>2.92</v>
      </c>
      <c r="E14" s="800">
        <v>3057699.6</v>
      </c>
      <c r="F14" s="593">
        <v>2.92</v>
      </c>
      <c r="G14" s="800">
        <v>3059054.4</v>
      </c>
      <c r="H14" s="593">
        <v>2.94</v>
      </c>
      <c r="I14" s="800">
        <v>3060410.1</v>
      </c>
      <c r="J14" s="593">
        <v>2.94</v>
      </c>
      <c r="K14" s="800">
        <v>3064480.5</v>
      </c>
      <c r="L14" s="593">
        <v>2.94</v>
      </c>
      <c r="M14" s="800">
        <v>3065838.3</v>
      </c>
      <c r="N14" s="593">
        <v>2.94</v>
      </c>
      <c r="O14" s="800">
        <v>3067197</v>
      </c>
      <c r="P14" s="593">
        <v>2.95</v>
      </c>
      <c r="Q14" s="800">
        <v>3068556</v>
      </c>
      <c r="R14" s="593">
        <v>2.94</v>
      </c>
      <c r="S14" s="800">
        <v>3069915.9</v>
      </c>
      <c r="T14" s="593">
        <v>2.95</v>
      </c>
      <c r="U14" s="800">
        <v>3073998.9</v>
      </c>
      <c r="V14" s="593">
        <v>2.9499999999999997</v>
      </c>
      <c r="W14" s="800">
        <v>3075360.9</v>
      </c>
      <c r="X14" s="593">
        <v>2.95</v>
      </c>
      <c r="Y14" s="800">
        <v>3076723.8</v>
      </c>
      <c r="Z14" s="593">
        <v>2.95</v>
      </c>
      <c r="AA14" s="800">
        <v>3078087.3</v>
      </c>
      <c r="AB14" s="593">
        <v>2.96</v>
      </c>
      <c r="AC14" s="800">
        <v>3079451.1</v>
      </c>
      <c r="AD14" s="593">
        <v>2.95</v>
      </c>
      <c r="AE14" s="800">
        <v>3083547</v>
      </c>
      <c r="AF14" s="593">
        <v>2.96</v>
      </c>
      <c r="AG14" s="800">
        <v>3084913.2</v>
      </c>
      <c r="AH14" s="593">
        <v>2.96</v>
      </c>
      <c r="AI14" s="800">
        <v>3086280.3</v>
      </c>
      <c r="AJ14" s="593">
        <v>2.95</v>
      </c>
      <c r="AK14" s="800">
        <v>3087648</v>
      </c>
      <c r="AL14" s="593">
        <v>2.96</v>
      </c>
      <c r="AM14" s="800">
        <v>3089016.3</v>
      </c>
      <c r="AN14" s="593">
        <v>2.96</v>
      </c>
      <c r="AO14" s="800">
        <v>3093124.5</v>
      </c>
      <c r="AP14" s="593">
        <v>2.96</v>
      </c>
      <c r="AQ14" s="800">
        <v>3094495.2</v>
      </c>
      <c r="AR14" s="593">
        <v>2.96</v>
      </c>
      <c r="AS14" s="800">
        <v>3095866.5</v>
      </c>
      <c r="AT14" s="593">
        <v>2.96</v>
      </c>
      <c r="AU14" s="800">
        <v>3097238.4</v>
      </c>
      <c r="AV14" s="593">
        <v>2.96</v>
      </c>
    </row>
    <row r="15" spans="1:48" ht="16.5" thickBot="1">
      <c r="A15" s="1022" t="s">
        <v>114</v>
      </c>
      <c r="B15" s="1047"/>
      <c r="C15" s="598">
        <f t="shared" ref="C15:D15" si="23">SUM(C10:C14)</f>
        <v>13411807.110000001</v>
      </c>
      <c r="D15" s="646">
        <f t="shared" si="23"/>
        <v>12.819999999999999</v>
      </c>
      <c r="E15" s="598">
        <f t="shared" ref="E15:F15" si="24">SUM(E10:E14)</f>
        <v>13417538.610000001</v>
      </c>
      <c r="F15" s="646">
        <f t="shared" si="24"/>
        <v>12.819999999999999</v>
      </c>
      <c r="G15" s="598">
        <f t="shared" ref="G15:H15" si="25">SUM(G10:G14)</f>
        <v>13423272.84</v>
      </c>
      <c r="H15" s="646">
        <f t="shared" si="25"/>
        <v>12.91</v>
      </c>
      <c r="I15" s="598">
        <f t="shared" ref="I15:J15" si="26">SUM(I10:I14)</f>
        <v>13429009.459999999</v>
      </c>
      <c r="J15" s="646">
        <f t="shared" si="26"/>
        <v>12.89</v>
      </c>
      <c r="K15" s="598">
        <f t="shared" ref="K15:L15" si="27">SUM(K10:K14)</f>
        <v>13446234</v>
      </c>
      <c r="L15" s="646">
        <f t="shared" si="27"/>
        <v>12.9</v>
      </c>
      <c r="M15" s="598">
        <f t="shared" ref="M15:N15" si="28">SUM(M10:M14)</f>
        <v>13451980.120000001</v>
      </c>
      <c r="N15" s="646">
        <f t="shared" si="28"/>
        <v>12.91</v>
      </c>
      <c r="O15" s="598">
        <f t="shared" ref="O15:P15" si="29">SUM(O10:O14)</f>
        <v>13298169.550000001</v>
      </c>
      <c r="P15" s="646">
        <f t="shared" si="29"/>
        <v>12.77</v>
      </c>
      <c r="Q15" s="598">
        <f t="shared" ref="Q15:R15" si="30">SUM(Q10:Q14)</f>
        <v>13303851.75</v>
      </c>
      <c r="R15" s="646">
        <f t="shared" si="30"/>
        <v>12.76</v>
      </c>
      <c r="S15" s="598">
        <f t="shared" ref="S15:T15" si="31">SUM(S10:S14)</f>
        <v>13309537.27</v>
      </c>
      <c r="T15" s="646">
        <f t="shared" si="31"/>
        <v>12.77</v>
      </c>
      <c r="U15" s="598">
        <f t="shared" ref="U15:V15" si="32">SUM(U10:U14)</f>
        <v>13326607.460000001</v>
      </c>
      <c r="V15" s="646">
        <f t="shared" si="32"/>
        <v>12.77</v>
      </c>
      <c r="W15" s="598">
        <f t="shared" ref="W15:X15" si="33">SUM(W10:W14)</f>
        <v>13332302.310000001</v>
      </c>
      <c r="X15" s="646">
        <f t="shared" si="33"/>
        <v>12.780000000000001</v>
      </c>
      <c r="Y15" s="598">
        <f t="shared" ref="Y15:Z15" si="34">SUM(Y10:Y14)</f>
        <v>13337999.870000001</v>
      </c>
      <c r="Z15" s="646">
        <f t="shared" si="34"/>
        <v>12.8</v>
      </c>
      <c r="AA15" s="598">
        <f t="shared" ref="AA15:AB15" si="35">SUM(AA10:AA14)</f>
        <v>13343699.539999999</v>
      </c>
      <c r="AB15" s="646">
        <f t="shared" si="35"/>
        <v>12.809999999999999</v>
      </c>
      <c r="AC15" s="598">
        <f t="shared" ref="AC15:AD15" si="36">SUM(AC10:AC14)</f>
        <v>13349401.91</v>
      </c>
      <c r="AD15" s="646">
        <f t="shared" si="36"/>
        <v>12.8</v>
      </c>
      <c r="AE15" s="598">
        <f t="shared" ref="AE15:AF15" si="37">SUM(AE10:AE14)</f>
        <v>13366523.219999999</v>
      </c>
      <c r="AF15" s="646">
        <f t="shared" si="37"/>
        <v>12.809999999999999</v>
      </c>
      <c r="AG15" s="598">
        <f t="shared" ref="AG15:AH15" si="38">SUM(AG10:AG14)</f>
        <v>13372235.620000001</v>
      </c>
      <c r="AH15" s="646">
        <f t="shared" si="38"/>
        <v>12.809999999999999</v>
      </c>
      <c r="AI15" s="598">
        <f t="shared" ref="AI15:AJ15" si="39">SUM(AI10:AI14)</f>
        <v>13377949.940000001</v>
      </c>
      <c r="AJ15" s="646">
        <f t="shared" si="39"/>
        <v>12.82</v>
      </c>
      <c r="AK15" s="598">
        <f t="shared" ref="AK15:AL15" si="40">SUM(AK10:AK14)</f>
        <v>13383666.510000002</v>
      </c>
      <c r="AL15" s="646">
        <f t="shared" si="40"/>
        <v>12.829999999999998</v>
      </c>
      <c r="AM15" s="598">
        <f t="shared" ref="AM15:AN15" si="41">SUM(AM10:AM14)</f>
        <v>13389386.739999998</v>
      </c>
      <c r="AN15" s="646">
        <f t="shared" si="41"/>
        <v>12.82</v>
      </c>
      <c r="AO15" s="598">
        <f t="shared" ref="AO15:AP15" si="42">SUM(AO10:AO14)</f>
        <v>13406559.219999999</v>
      </c>
      <c r="AP15" s="646">
        <f t="shared" si="42"/>
        <v>12.82</v>
      </c>
      <c r="AQ15" s="598">
        <f t="shared" ref="AQ15:AR15" si="43">SUM(AQ10:AQ14)</f>
        <v>13412288.050000001</v>
      </c>
      <c r="AR15" s="646">
        <f t="shared" si="43"/>
        <v>12.829999999999998</v>
      </c>
      <c r="AS15" s="598">
        <f t="shared" ref="AS15:AT15" si="44">SUM(AS10:AS14)</f>
        <v>13418020.310000001</v>
      </c>
      <c r="AT15" s="646">
        <f t="shared" si="44"/>
        <v>12.84</v>
      </c>
      <c r="AU15" s="598">
        <f t="shared" ref="AU15:AV15" si="45">SUM(AU10:AU14)</f>
        <v>13423754.040000001</v>
      </c>
      <c r="AV15" s="646">
        <f t="shared" si="45"/>
        <v>12.809999999999999</v>
      </c>
    </row>
    <row r="16" spans="1:48" ht="31.5">
      <c r="A16" s="77" t="s">
        <v>41</v>
      </c>
      <c r="B16" s="78" t="s">
        <v>42</v>
      </c>
      <c r="C16" s="599"/>
      <c r="D16" s="648"/>
      <c r="E16" s="599"/>
      <c r="F16" s="648"/>
      <c r="G16" s="599"/>
      <c r="H16" s="648"/>
      <c r="I16" s="599"/>
      <c r="J16" s="648"/>
      <c r="K16" s="599"/>
      <c r="L16" s="648"/>
      <c r="M16" s="599"/>
      <c r="N16" s="648"/>
      <c r="O16" s="599"/>
      <c r="P16" s="648"/>
      <c r="Q16" s="599"/>
      <c r="R16" s="648"/>
      <c r="S16" s="599"/>
      <c r="T16" s="648"/>
      <c r="U16" s="599"/>
      <c r="V16" s="648"/>
      <c r="W16" s="599"/>
      <c r="X16" s="648"/>
      <c r="Y16" s="599"/>
      <c r="Z16" s="648"/>
      <c r="AA16" s="599"/>
      <c r="AB16" s="648"/>
      <c r="AC16" s="599"/>
      <c r="AD16" s="648"/>
      <c r="AE16" s="599"/>
      <c r="AF16" s="648"/>
      <c r="AG16" s="599"/>
      <c r="AH16" s="648"/>
      <c r="AI16" s="599"/>
      <c r="AJ16" s="648"/>
      <c r="AK16" s="599"/>
      <c r="AL16" s="648"/>
      <c r="AM16" s="599"/>
      <c r="AN16" s="648"/>
      <c r="AO16" s="599"/>
      <c r="AP16" s="648"/>
      <c r="AQ16" s="599"/>
      <c r="AR16" s="648"/>
      <c r="AS16" s="599"/>
      <c r="AT16" s="648"/>
      <c r="AU16" s="599"/>
      <c r="AV16" s="648"/>
    </row>
    <row r="17" spans="1:48" ht="16.5" thickBot="1">
      <c r="A17" s="460">
        <v>22048622</v>
      </c>
      <c r="B17" s="461" t="s">
        <v>121</v>
      </c>
      <c r="C17" s="600">
        <v>1706400</v>
      </c>
      <c r="D17" s="648">
        <v>1.64</v>
      </c>
      <c r="E17" s="802">
        <v>1706400</v>
      </c>
      <c r="F17" s="648">
        <v>1.64</v>
      </c>
      <c r="G17" s="802">
        <v>1706400</v>
      </c>
      <c r="H17" s="648">
        <v>1.64</v>
      </c>
      <c r="I17" s="802">
        <v>1706400</v>
      </c>
      <c r="J17" s="648">
        <v>1.64</v>
      </c>
      <c r="K17" s="802">
        <v>1706400</v>
      </c>
      <c r="L17" s="648">
        <v>1.64</v>
      </c>
      <c r="M17" s="802">
        <v>1706400</v>
      </c>
      <c r="N17" s="648">
        <v>1.64</v>
      </c>
      <c r="O17" s="802">
        <v>1706400</v>
      </c>
      <c r="P17" s="648">
        <v>1.64</v>
      </c>
      <c r="Q17" s="802">
        <v>1706400</v>
      </c>
      <c r="R17" s="648">
        <v>1.63</v>
      </c>
      <c r="S17" s="802">
        <v>1706400</v>
      </c>
      <c r="T17" s="648">
        <v>1.64</v>
      </c>
      <c r="U17" s="802">
        <v>1706400</v>
      </c>
      <c r="V17" s="648">
        <v>1.63</v>
      </c>
      <c r="W17" s="802">
        <v>1706400</v>
      </c>
      <c r="X17" s="648">
        <v>1.64</v>
      </c>
      <c r="Y17" s="802">
        <v>1706400</v>
      </c>
      <c r="Z17" s="648">
        <v>1.64</v>
      </c>
      <c r="AA17" s="802">
        <v>1706400</v>
      </c>
      <c r="AB17" s="648">
        <v>1.64</v>
      </c>
      <c r="AC17" s="802">
        <v>1706400</v>
      </c>
      <c r="AD17" s="648">
        <v>1.64</v>
      </c>
      <c r="AE17" s="802">
        <v>1706400</v>
      </c>
      <c r="AF17" s="648">
        <v>1.64</v>
      </c>
      <c r="AG17" s="802">
        <v>1706400</v>
      </c>
      <c r="AH17" s="648">
        <v>1.64</v>
      </c>
      <c r="AI17" s="802">
        <v>1706400</v>
      </c>
      <c r="AJ17" s="648">
        <v>1.64</v>
      </c>
      <c r="AK17" s="802">
        <v>1706400</v>
      </c>
      <c r="AL17" s="648">
        <v>1.64</v>
      </c>
      <c r="AM17" s="802">
        <v>1706400</v>
      </c>
      <c r="AN17" s="648">
        <v>1.64</v>
      </c>
      <c r="AO17" s="802">
        <v>1706400</v>
      </c>
      <c r="AP17" s="648">
        <v>1.64</v>
      </c>
      <c r="AQ17" s="802">
        <v>1706400</v>
      </c>
      <c r="AR17" s="648">
        <v>1.64</v>
      </c>
      <c r="AS17" s="802">
        <v>1706400</v>
      </c>
      <c r="AT17" s="648">
        <v>1.64</v>
      </c>
      <c r="AU17" s="802">
        <v>1706400</v>
      </c>
      <c r="AV17" s="648">
        <v>1.63</v>
      </c>
    </row>
    <row r="18" spans="1:48" ht="16.5" thickBot="1">
      <c r="A18" s="1039" t="s">
        <v>112</v>
      </c>
      <c r="B18" s="1039"/>
      <c r="C18" s="601">
        <f>SUM(C16:C17)</f>
        <v>1706400</v>
      </c>
      <c r="D18" s="650">
        <v>1.63</v>
      </c>
      <c r="E18" s="601">
        <f>SUM(E16:E17)</f>
        <v>1706400</v>
      </c>
      <c r="F18" s="650">
        <v>1.63</v>
      </c>
      <c r="G18" s="601">
        <f>SUM(G16:G17)</f>
        <v>1706400</v>
      </c>
      <c r="H18" s="650">
        <f>H17</f>
        <v>1.64</v>
      </c>
      <c r="I18" s="601">
        <f>SUM(I16:I17)</f>
        <v>1706400</v>
      </c>
      <c r="J18" s="650">
        <f>J17</f>
        <v>1.64</v>
      </c>
      <c r="K18" s="601">
        <f>SUM(K16:K17)</f>
        <v>1706400</v>
      </c>
      <c r="L18" s="650">
        <f>L17</f>
        <v>1.64</v>
      </c>
      <c r="M18" s="601">
        <f>SUM(M16:M17)</f>
        <v>1706400</v>
      </c>
      <c r="N18" s="650">
        <f>N17</f>
        <v>1.64</v>
      </c>
      <c r="O18" s="601">
        <f>SUM(O16:O17)</f>
        <v>1706400</v>
      </c>
      <c r="P18" s="650">
        <f>P17</f>
        <v>1.64</v>
      </c>
      <c r="Q18" s="601">
        <f>SUM(Q16:Q17)</f>
        <v>1706400</v>
      </c>
      <c r="R18" s="650">
        <f>R17</f>
        <v>1.63</v>
      </c>
      <c r="S18" s="601">
        <f>SUM(S16:S17)</f>
        <v>1706400</v>
      </c>
      <c r="T18" s="650">
        <f>T17</f>
        <v>1.64</v>
      </c>
      <c r="U18" s="601">
        <f>SUM(U16:U17)</f>
        <v>1706400</v>
      </c>
      <c r="V18" s="650">
        <f>V17</f>
        <v>1.63</v>
      </c>
      <c r="W18" s="601">
        <f>SUM(W16:W17)</f>
        <v>1706400</v>
      </c>
      <c r="X18" s="650">
        <f>X17</f>
        <v>1.64</v>
      </c>
      <c r="Y18" s="601">
        <f>SUM(Y16:Y17)</f>
        <v>1706400</v>
      </c>
      <c r="Z18" s="650">
        <f>Z17</f>
        <v>1.64</v>
      </c>
      <c r="AA18" s="601">
        <f>SUM(AA16:AA17)</f>
        <v>1706400</v>
      </c>
      <c r="AB18" s="650">
        <f>AB17</f>
        <v>1.64</v>
      </c>
      <c r="AC18" s="601">
        <f>SUM(AC16:AC17)</f>
        <v>1706400</v>
      </c>
      <c r="AD18" s="650">
        <f>AD17</f>
        <v>1.64</v>
      </c>
      <c r="AE18" s="601">
        <f>SUM(AE16:AE17)</f>
        <v>1706400</v>
      </c>
      <c r="AF18" s="650">
        <f>AF17</f>
        <v>1.64</v>
      </c>
      <c r="AG18" s="601">
        <f>SUM(AG16:AG17)</f>
        <v>1706400</v>
      </c>
      <c r="AH18" s="650">
        <f>AH17</f>
        <v>1.64</v>
      </c>
      <c r="AI18" s="601">
        <f>SUM(AI16:AI17)</f>
        <v>1706400</v>
      </c>
      <c r="AJ18" s="650">
        <f>AJ17</f>
        <v>1.64</v>
      </c>
      <c r="AK18" s="601">
        <f>SUM(AK16:AK17)</f>
        <v>1706400</v>
      </c>
      <c r="AL18" s="650">
        <f>AL17</f>
        <v>1.64</v>
      </c>
      <c r="AM18" s="601">
        <f>SUM(AM16:AM17)</f>
        <v>1706400</v>
      </c>
      <c r="AN18" s="650">
        <f>AN17</f>
        <v>1.64</v>
      </c>
      <c r="AO18" s="601">
        <f>SUM(AO16:AO17)</f>
        <v>1706400</v>
      </c>
      <c r="AP18" s="650">
        <f>AP17</f>
        <v>1.64</v>
      </c>
      <c r="AQ18" s="601">
        <f>SUM(AQ16:AQ17)</f>
        <v>1706400</v>
      </c>
      <c r="AR18" s="650">
        <f>AR17</f>
        <v>1.64</v>
      </c>
      <c r="AS18" s="601">
        <f>SUM(AS16:AS17)</f>
        <v>1706400</v>
      </c>
      <c r="AT18" s="650">
        <f>AT17</f>
        <v>1.64</v>
      </c>
      <c r="AU18" s="601">
        <f>SUM(AU16:AU17)</f>
        <v>1706400</v>
      </c>
      <c r="AV18" s="650">
        <f>AV17</f>
        <v>1.63</v>
      </c>
    </row>
    <row r="19" spans="1:48">
      <c r="A19" s="447" t="s">
        <v>106</v>
      </c>
      <c r="B19" s="446"/>
      <c r="C19" s="602">
        <v>550495</v>
      </c>
      <c r="D19" s="726">
        <v>0.52</v>
      </c>
      <c r="E19" s="602">
        <v>550495</v>
      </c>
      <c r="F19" s="803">
        <v>0.52</v>
      </c>
      <c r="G19" s="602">
        <v>550495</v>
      </c>
      <c r="H19" s="803">
        <v>0.53</v>
      </c>
      <c r="I19" s="602">
        <v>550495</v>
      </c>
      <c r="J19" s="803">
        <v>0.53</v>
      </c>
      <c r="K19" s="602">
        <v>550495</v>
      </c>
      <c r="L19" s="803">
        <v>0.53</v>
      </c>
      <c r="M19" s="602">
        <v>550495</v>
      </c>
      <c r="N19" s="803">
        <v>0.53</v>
      </c>
      <c r="O19" s="602">
        <v>550495</v>
      </c>
      <c r="P19" s="803">
        <v>0.53</v>
      </c>
      <c r="Q19" s="602">
        <v>550495</v>
      </c>
      <c r="R19" s="803">
        <v>0.53</v>
      </c>
      <c r="S19" s="602">
        <v>550495</v>
      </c>
      <c r="T19" s="803">
        <v>0.53</v>
      </c>
      <c r="U19" s="602">
        <v>550495</v>
      </c>
      <c r="V19" s="803">
        <v>0.53</v>
      </c>
      <c r="W19" s="602">
        <v>550495</v>
      </c>
      <c r="X19" s="803">
        <v>0.53</v>
      </c>
      <c r="Y19" s="602">
        <v>550495</v>
      </c>
      <c r="Z19" s="803">
        <v>0.53</v>
      </c>
      <c r="AA19" s="602">
        <v>550495</v>
      </c>
      <c r="AB19" s="803">
        <v>0.53</v>
      </c>
      <c r="AC19" s="602">
        <v>550495</v>
      </c>
      <c r="AD19" s="803">
        <v>0.53</v>
      </c>
      <c r="AE19" s="602">
        <v>550495</v>
      </c>
      <c r="AF19" s="803">
        <v>0.53</v>
      </c>
      <c r="AG19" s="602">
        <v>550495</v>
      </c>
      <c r="AH19" s="803">
        <v>0.53</v>
      </c>
      <c r="AI19" s="602">
        <v>550495</v>
      </c>
      <c r="AJ19" s="803">
        <v>0.53</v>
      </c>
      <c r="AK19" s="602">
        <v>550495</v>
      </c>
      <c r="AL19" s="803">
        <v>0.53</v>
      </c>
      <c r="AM19" s="602">
        <v>550495</v>
      </c>
      <c r="AN19" s="803">
        <v>0.53</v>
      </c>
      <c r="AO19" s="602">
        <v>550495</v>
      </c>
      <c r="AP19" s="803">
        <v>0.53</v>
      </c>
      <c r="AQ19" s="602">
        <v>550495</v>
      </c>
      <c r="AR19" s="803">
        <v>0.53</v>
      </c>
      <c r="AS19" s="602">
        <v>550495</v>
      </c>
      <c r="AT19" s="803">
        <v>0.53</v>
      </c>
      <c r="AU19" s="602">
        <v>550495</v>
      </c>
      <c r="AV19" s="803">
        <v>0.53</v>
      </c>
    </row>
    <row r="20" spans="1:48">
      <c r="A20" s="447" t="s">
        <v>107</v>
      </c>
      <c r="B20" s="446"/>
      <c r="C20" s="603">
        <v>1188246.17</v>
      </c>
      <c r="D20" s="727">
        <v>1.1399999999999999</v>
      </c>
      <c r="E20" s="603">
        <v>1188246.17</v>
      </c>
      <c r="F20" s="804">
        <v>1.1399999999999999</v>
      </c>
      <c r="G20" s="603">
        <v>1188246.17</v>
      </c>
      <c r="H20" s="804">
        <v>1.1399999999999999</v>
      </c>
      <c r="I20" s="603">
        <v>1188246.17</v>
      </c>
      <c r="J20" s="804">
        <v>1.1399999999999999</v>
      </c>
      <c r="K20" s="603">
        <v>1188246.17</v>
      </c>
      <c r="L20" s="804">
        <v>1.1399999999999999</v>
      </c>
      <c r="M20" s="603">
        <v>1188246.17</v>
      </c>
      <c r="N20" s="804">
        <v>1.1399999999999999</v>
      </c>
      <c r="O20" s="603">
        <v>1188246.17</v>
      </c>
      <c r="P20" s="804">
        <v>1.1399999999999999</v>
      </c>
      <c r="Q20" s="603">
        <v>1188246.17</v>
      </c>
      <c r="R20" s="804">
        <v>1.1399999999999999</v>
      </c>
      <c r="S20" s="603">
        <v>1188246.17</v>
      </c>
      <c r="T20" s="804">
        <v>1.1399999999999999</v>
      </c>
      <c r="U20" s="603">
        <v>1188246.17</v>
      </c>
      <c r="V20" s="804">
        <v>1.1399999999999999</v>
      </c>
      <c r="W20" s="603">
        <v>1188246.17</v>
      </c>
      <c r="X20" s="804">
        <v>1.1399999999999999</v>
      </c>
      <c r="Y20" s="603">
        <v>1188246.17</v>
      </c>
      <c r="Z20" s="804">
        <v>1.1399999999999999</v>
      </c>
      <c r="AA20" s="603">
        <v>1188246.17</v>
      </c>
      <c r="AB20" s="804">
        <v>1.1399999999999999</v>
      </c>
      <c r="AC20" s="603">
        <v>1188246.17</v>
      </c>
      <c r="AD20" s="804">
        <v>1.1399999999999999</v>
      </c>
      <c r="AE20" s="603">
        <v>1188246.17</v>
      </c>
      <c r="AF20" s="804">
        <v>1.1399999999999999</v>
      </c>
      <c r="AG20" s="603">
        <v>1188246.17</v>
      </c>
      <c r="AH20" s="804">
        <v>1.1399999999999999</v>
      </c>
      <c r="AI20" s="603">
        <v>1188246.17</v>
      </c>
      <c r="AJ20" s="804">
        <v>1.1399999999999999</v>
      </c>
      <c r="AK20" s="603">
        <v>1188246.17</v>
      </c>
      <c r="AL20" s="804">
        <v>1.1399999999999999</v>
      </c>
      <c r="AM20" s="603">
        <v>1188246.17</v>
      </c>
      <c r="AN20" s="804">
        <v>1.1399999999999999</v>
      </c>
      <c r="AO20" s="603">
        <v>1188246.17</v>
      </c>
      <c r="AP20" s="804">
        <v>1.1299999999999999</v>
      </c>
      <c r="AQ20" s="603">
        <v>1188246.17</v>
      </c>
      <c r="AR20" s="804">
        <v>1.1399999999999999</v>
      </c>
      <c r="AS20" s="603">
        <v>1188246.17</v>
      </c>
      <c r="AT20" s="804">
        <v>1.1399999999999999</v>
      </c>
      <c r="AU20" s="603">
        <v>1188246.17</v>
      </c>
      <c r="AV20" s="804">
        <v>1.1299999999999999</v>
      </c>
    </row>
    <row r="21" spans="1:48" ht="16.5" thickBot="1">
      <c r="A21" s="447" t="s">
        <v>108</v>
      </c>
      <c r="B21" s="446"/>
      <c r="C21" s="604">
        <v>5267242.53</v>
      </c>
      <c r="D21" s="727">
        <v>5.03</v>
      </c>
      <c r="E21" s="604">
        <v>5267242.53</v>
      </c>
      <c r="F21" s="804">
        <v>5.03</v>
      </c>
      <c r="G21" s="604">
        <v>5267242.53</v>
      </c>
      <c r="H21" s="804">
        <v>5.07</v>
      </c>
      <c r="I21" s="604">
        <v>5267242.53</v>
      </c>
      <c r="J21" s="804">
        <v>5.0599999999999996</v>
      </c>
      <c r="K21" s="604">
        <v>5267242.53</v>
      </c>
      <c r="L21" s="804">
        <v>5.05</v>
      </c>
      <c r="M21" s="604">
        <v>5267242.53</v>
      </c>
      <c r="N21" s="804">
        <v>5.0599999999999996</v>
      </c>
      <c r="O21" s="604">
        <v>5267242.53</v>
      </c>
      <c r="P21" s="804">
        <v>5.0599999999999996</v>
      </c>
      <c r="Q21" s="604">
        <v>5267242.53</v>
      </c>
      <c r="R21" s="804">
        <v>5.05</v>
      </c>
      <c r="S21" s="604">
        <v>5267242.53</v>
      </c>
      <c r="T21" s="804">
        <v>5.0599999999999996</v>
      </c>
      <c r="U21" s="604">
        <v>5267242.53</v>
      </c>
      <c r="V21" s="804">
        <v>5.04</v>
      </c>
      <c r="W21" s="604">
        <v>5267242.53</v>
      </c>
      <c r="X21" s="804">
        <v>5.04</v>
      </c>
      <c r="Y21" s="604">
        <v>5267242.53</v>
      </c>
      <c r="Z21" s="804">
        <v>5.05</v>
      </c>
      <c r="AA21" s="604">
        <v>5267242.53</v>
      </c>
      <c r="AB21" s="804">
        <v>5.0599999999999996</v>
      </c>
      <c r="AC21" s="604">
        <v>5267242.53</v>
      </c>
      <c r="AD21" s="804">
        <v>5.05</v>
      </c>
      <c r="AE21" s="604">
        <v>5267242.53</v>
      </c>
      <c r="AF21" s="804">
        <v>5.05</v>
      </c>
      <c r="AG21" s="604">
        <v>5267242.53</v>
      </c>
      <c r="AH21" s="804">
        <v>5.04</v>
      </c>
      <c r="AI21" s="604">
        <v>5267242.53</v>
      </c>
      <c r="AJ21" s="804">
        <v>5.04</v>
      </c>
      <c r="AK21" s="604">
        <v>5267242.53</v>
      </c>
      <c r="AL21" s="804">
        <v>5.05</v>
      </c>
      <c r="AM21" s="604">
        <v>5267242.53</v>
      </c>
      <c r="AN21" s="804">
        <v>5.05</v>
      </c>
      <c r="AO21" s="604">
        <v>5267242.53</v>
      </c>
      <c r="AP21" s="804">
        <v>5.04</v>
      </c>
      <c r="AQ21" s="604">
        <v>5267242.53</v>
      </c>
      <c r="AR21" s="804">
        <v>5.04</v>
      </c>
      <c r="AS21" s="604">
        <v>5267242.53</v>
      </c>
      <c r="AT21" s="804">
        <v>5.04</v>
      </c>
      <c r="AU21" s="604">
        <v>5267242.53</v>
      </c>
      <c r="AV21" s="804">
        <v>5.03</v>
      </c>
    </row>
    <row r="22" spans="1:48" ht="16.5" thickBot="1">
      <c r="A22" s="1026" t="s">
        <v>111</v>
      </c>
      <c r="B22" s="1027"/>
      <c r="C22" s="601">
        <f t="shared" ref="C22:D22" si="46">SUM(C19:C21)</f>
        <v>7005983.7000000002</v>
      </c>
      <c r="D22" s="650">
        <f t="shared" si="46"/>
        <v>6.69</v>
      </c>
      <c r="E22" s="601">
        <f t="shared" ref="E22:F22" si="47">SUM(E19:E21)</f>
        <v>7005983.7000000002</v>
      </c>
      <c r="F22" s="650">
        <f t="shared" si="47"/>
        <v>6.69</v>
      </c>
      <c r="G22" s="601">
        <f t="shared" ref="G22:H22" si="48">SUM(G19:G21)</f>
        <v>7005983.7000000002</v>
      </c>
      <c r="H22" s="650">
        <f t="shared" si="48"/>
        <v>6.74</v>
      </c>
      <c r="I22" s="601">
        <f t="shared" ref="I22:J22" si="49">SUM(I19:I21)</f>
        <v>7005983.7000000002</v>
      </c>
      <c r="J22" s="650">
        <f t="shared" si="49"/>
        <v>6.7299999999999995</v>
      </c>
      <c r="K22" s="601">
        <f t="shared" ref="K22:L22" si="50">SUM(K19:K21)</f>
        <v>7005983.7000000002</v>
      </c>
      <c r="L22" s="650">
        <f t="shared" si="50"/>
        <v>6.72</v>
      </c>
      <c r="M22" s="601">
        <f t="shared" ref="M22:N22" si="51">SUM(M19:M21)</f>
        <v>7005983.7000000002</v>
      </c>
      <c r="N22" s="650">
        <f t="shared" si="51"/>
        <v>6.7299999999999995</v>
      </c>
      <c r="O22" s="601">
        <f t="shared" ref="O22:P22" si="52">SUM(O19:O21)</f>
        <v>7005983.7000000002</v>
      </c>
      <c r="P22" s="650">
        <f t="shared" si="52"/>
        <v>6.7299999999999995</v>
      </c>
      <c r="Q22" s="601">
        <f t="shared" ref="Q22:R22" si="53">SUM(Q19:Q21)</f>
        <v>7005983.7000000002</v>
      </c>
      <c r="R22" s="650">
        <f t="shared" si="53"/>
        <v>6.72</v>
      </c>
      <c r="S22" s="601">
        <f t="shared" ref="S22:T22" si="54">SUM(S19:S21)</f>
        <v>7005983.7000000002</v>
      </c>
      <c r="T22" s="650">
        <f t="shared" si="54"/>
        <v>6.7299999999999995</v>
      </c>
      <c r="U22" s="601">
        <f t="shared" ref="U22:V22" si="55">SUM(U19:U21)</f>
        <v>7005983.7000000002</v>
      </c>
      <c r="V22" s="650">
        <f t="shared" si="55"/>
        <v>6.71</v>
      </c>
      <c r="W22" s="601">
        <f t="shared" ref="W22:X22" si="56">SUM(W19:W21)</f>
        <v>7005983.7000000002</v>
      </c>
      <c r="X22" s="650">
        <f t="shared" si="56"/>
        <v>6.71</v>
      </c>
      <c r="Y22" s="601">
        <f t="shared" ref="Y22:Z22" si="57">SUM(Y19:Y21)</f>
        <v>7005983.7000000002</v>
      </c>
      <c r="Z22" s="650">
        <f t="shared" si="57"/>
        <v>6.72</v>
      </c>
      <c r="AA22" s="601">
        <f t="shared" ref="AA22:AB22" si="58">SUM(AA19:AA21)</f>
        <v>7005983.7000000002</v>
      </c>
      <c r="AB22" s="650">
        <f t="shared" si="58"/>
        <v>6.7299999999999995</v>
      </c>
      <c r="AC22" s="601">
        <f t="shared" ref="AC22:AD22" si="59">SUM(AC19:AC21)</f>
        <v>7005983.7000000002</v>
      </c>
      <c r="AD22" s="650">
        <f t="shared" si="59"/>
        <v>6.72</v>
      </c>
      <c r="AE22" s="601">
        <f t="shared" ref="AE22:AF22" si="60">SUM(AE19:AE21)</f>
        <v>7005983.7000000002</v>
      </c>
      <c r="AF22" s="650">
        <f t="shared" si="60"/>
        <v>6.72</v>
      </c>
      <c r="AG22" s="601">
        <f t="shared" ref="AG22:AH22" si="61">SUM(AG19:AG21)</f>
        <v>7005983.7000000002</v>
      </c>
      <c r="AH22" s="650">
        <f t="shared" si="61"/>
        <v>6.71</v>
      </c>
      <c r="AI22" s="601">
        <f t="shared" ref="AI22:AJ22" si="62">SUM(AI19:AI21)</f>
        <v>7005983.7000000002</v>
      </c>
      <c r="AJ22" s="650">
        <f t="shared" si="62"/>
        <v>6.71</v>
      </c>
      <c r="AK22" s="601">
        <f t="shared" ref="AK22:AL22" si="63">SUM(AK19:AK21)</f>
        <v>7005983.7000000002</v>
      </c>
      <c r="AL22" s="650">
        <f t="shared" si="63"/>
        <v>6.72</v>
      </c>
      <c r="AM22" s="601">
        <f t="shared" ref="AM22:AN22" si="64">SUM(AM19:AM21)</f>
        <v>7005983.7000000002</v>
      </c>
      <c r="AN22" s="650">
        <f t="shared" si="64"/>
        <v>6.72</v>
      </c>
      <c r="AO22" s="601">
        <f t="shared" ref="AO22:AP22" si="65">SUM(AO19:AO21)</f>
        <v>7005983.7000000002</v>
      </c>
      <c r="AP22" s="650">
        <f t="shared" si="65"/>
        <v>6.7</v>
      </c>
      <c r="AQ22" s="601">
        <f t="shared" ref="AQ22:AR22" si="66">SUM(AQ19:AQ21)</f>
        <v>7005983.7000000002</v>
      </c>
      <c r="AR22" s="650">
        <f t="shared" si="66"/>
        <v>6.71</v>
      </c>
      <c r="AS22" s="601">
        <f t="shared" ref="AS22:AT22" si="67">SUM(AS19:AS21)</f>
        <v>7005983.7000000002</v>
      </c>
      <c r="AT22" s="650">
        <f t="shared" si="67"/>
        <v>6.71</v>
      </c>
      <c r="AU22" s="601">
        <f t="shared" ref="AU22:AV22" si="68">SUM(AU19:AU21)</f>
        <v>7005983.7000000002</v>
      </c>
      <c r="AV22" s="650">
        <f t="shared" si="68"/>
        <v>6.69</v>
      </c>
    </row>
    <row r="23" spans="1:48" ht="15">
      <c r="A23" s="553" t="s">
        <v>45</v>
      </c>
      <c r="B23" s="478" t="s">
        <v>58</v>
      </c>
      <c r="C23" s="464">
        <v>36514.910000000003</v>
      </c>
      <c r="D23" s="731">
        <v>0.03</v>
      </c>
      <c r="E23" s="805">
        <v>36514.910000000003</v>
      </c>
      <c r="F23" s="732">
        <v>0.03</v>
      </c>
      <c r="G23" s="464">
        <v>26514.91</v>
      </c>
      <c r="H23" s="463">
        <v>0.02</v>
      </c>
      <c r="I23" s="464">
        <v>26514.91</v>
      </c>
      <c r="J23" s="463">
        <v>0.03</v>
      </c>
      <c r="K23" s="464">
        <v>26514.91</v>
      </c>
      <c r="L23" s="463">
        <v>0.02</v>
      </c>
      <c r="M23" s="464">
        <v>26514.91</v>
      </c>
      <c r="N23" s="463">
        <v>1.9999999999999997E-2</v>
      </c>
      <c r="O23" s="805">
        <v>916824.91</v>
      </c>
      <c r="P23" s="502">
        <v>0.88</v>
      </c>
      <c r="Q23" s="464">
        <v>0</v>
      </c>
      <c r="R23" s="502">
        <v>0</v>
      </c>
      <c r="S23" s="464">
        <v>0</v>
      </c>
      <c r="T23" s="502">
        <v>0</v>
      </c>
      <c r="U23" s="464">
        <v>0</v>
      </c>
      <c r="V23" s="502">
        <v>0</v>
      </c>
      <c r="W23" s="464">
        <v>0</v>
      </c>
      <c r="X23" s="502">
        <v>0</v>
      </c>
      <c r="Y23" s="464">
        <v>0</v>
      </c>
      <c r="Z23" s="502">
        <v>0</v>
      </c>
      <c r="AA23" s="464">
        <v>0</v>
      </c>
      <c r="AB23" s="502">
        <v>0</v>
      </c>
      <c r="AC23" s="464">
        <v>0</v>
      </c>
      <c r="AD23" s="502">
        <v>0</v>
      </c>
      <c r="AE23" s="464">
        <v>0</v>
      </c>
      <c r="AF23" s="502">
        <v>0</v>
      </c>
      <c r="AG23" s="464">
        <v>46438.16</v>
      </c>
      <c r="AH23" s="502">
        <v>0.04</v>
      </c>
      <c r="AI23" s="464">
        <v>46438.16</v>
      </c>
      <c r="AJ23" s="502">
        <v>0.04</v>
      </c>
      <c r="AK23" s="464"/>
      <c r="AL23" s="502"/>
      <c r="AM23" s="464"/>
      <c r="AN23" s="502"/>
      <c r="AO23" s="585">
        <v>10273.969999999999</v>
      </c>
      <c r="AP23" s="502">
        <v>0.01</v>
      </c>
      <c r="AQ23" s="489">
        <v>10273.969999999999</v>
      </c>
      <c r="AR23" s="502">
        <v>0.01</v>
      </c>
      <c r="AS23" s="489">
        <v>25049.97</v>
      </c>
      <c r="AT23" s="502">
        <v>0.02</v>
      </c>
      <c r="AU23" s="464">
        <v>859.94</v>
      </c>
      <c r="AV23" s="502">
        <v>0</v>
      </c>
    </row>
    <row r="24" spans="1:48" ht="15" customHeight="1">
      <c r="A24" s="553" t="s">
        <v>45</v>
      </c>
      <c r="B24" s="478" t="s">
        <v>58</v>
      </c>
      <c r="C24" s="464">
        <v>64763.82</v>
      </c>
      <c r="D24" s="731">
        <v>0.06</v>
      </c>
      <c r="E24" s="805">
        <v>0</v>
      </c>
      <c r="F24" s="732">
        <v>0</v>
      </c>
      <c r="G24" s="464">
        <v>0</v>
      </c>
      <c r="H24" s="463">
        <v>0</v>
      </c>
      <c r="I24" s="464">
        <v>0</v>
      </c>
      <c r="J24" s="463">
        <v>0</v>
      </c>
      <c r="K24" s="464">
        <v>0</v>
      </c>
      <c r="L24" s="463">
        <v>0</v>
      </c>
      <c r="M24" s="464">
        <v>28745.98</v>
      </c>
      <c r="N24" s="463">
        <v>0.03</v>
      </c>
      <c r="O24" s="805">
        <v>36418.449999999997</v>
      </c>
      <c r="P24" s="502">
        <v>0.04</v>
      </c>
      <c r="Q24" s="464">
        <v>13243.36</v>
      </c>
      <c r="R24" s="502">
        <v>0.01</v>
      </c>
      <c r="S24" s="464">
        <v>13243.36</v>
      </c>
      <c r="T24" s="502">
        <v>0.01</v>
      </c>
      <c r="U24" s="464">
        <v>13243.36</v>
      </c>
      <c r="V24" s="502">
        <v>0.01</v>
      </c>
      <c r="W24" s="791">
        <v>29352.95</v>
      </c>
      <c r="X24" s="502">
        <v>0.03</v>
      </c>
      <c r="Y24" s="464">
        <v>49556.85</v>
      </c>
      <c r="Z24" s="502">
        <v>0.03</v>
      </c>
      <c r="AA24" s="464">
        <v>109556.85</v>
      </c>
      <c r="AB24" s="502">
        <v>0.11</v>
      </c>
      <c r="AC24" s="464">
        <v>9556.85</v>
      </c>
      <c r="AD24" s="502">
        <v>0.01</v>
      </c>
      <c r="AE24" s="464">
        <v>9556.85</v>
      </c>
      <c r="AF24" s="502">
        <v>0.01</v>
      </c>
      <c r="AG24" s="464">
        <v>9556.85</v>
      </c>
      <c r="AH24" s="502">
        <v>0.01</v>
      </c>
      <c r="AI24" s="464">
        <v>4695418.8499999996</v>
      </c>
      <c r="AJ24" s="502">
        <v>4.5</v>
      </c>
      <c r="AK24" s="464">
        <v>1985.31</v>
      </c>
      <c r="AL24" s="502">
        <v>0</v>
      </c>
      <c r="AM24" s="464">
        <v>1985.31</v>
      </c>
      <c r="AN24" s="502">
        <v>0</v>
      </c>
      <c r="AO24" s="464">
        <v>1985.31</v>
      </c>
      <c r="AP24" s="502">
        <v>0</v>
      </c>
      <c r="AQ24" s="489">
        <v>1985.31</v>
      </c>
      <c r="AR24" s="502">
        <v>0</v>
      </c>
      <c r="AS24" s="489">
        <v>695809.97</v>
      </c>
      <c r="AT24" s="502">
        <v>0.67</v>
      </c>
      <c r="AU24" s="464">
        <v>0</v>
      </c>
      <c r="AV24" s="502">
        <v>0</v>
      </c>
    </row>
    <row r="25" spans="1:48" ht="15" customHeight="1" thickBot="1">
      <c r="A25" s="554"/>
      <c r="B25" s="478"/>
      <c r="C25" s="464">
        <v>10482.530000000001</v>
      </c>
      <c r="D25" s="731">
        <v>0.01</v>
      </c>
      <c r="E25" s="806">
        <v>26921</v>
      </c>
      <c r="F25" s="732">
        <v>0.03</v>
      </c>
      <c r="G25" s="464">
        <v>6410.71</v>
      </c>
      <c r="H25" s="463">
        <v>0.01</v>
      </c>
      <c r="I25" s="464">
        <v>8916.7099999999991</v>
      </c>
      <c r="J25" s="463">
        <v>0.01</v>
      </c>
      <c r="K25" s="464">
        <v>18012.32</v>
      </c>
      <c r="L25" s="463">
        <v>0.02</v>
      </c>
      <c r="M25" s="464">
        <v>20689.32</v>
      </c>
      <c r="N25" s="463">
        <v>0.02</v>
      </c>
      <c r="O25" s="805">
        <v>1440.29</v>
      </c>
      <c r="P25" s="502"/>
      <c r="Q25" s="464">
        <v>2547.29</v>
      </c>
      <c r="R25" s="502"/>
      <c r="S25" s="464">
        <v>8860.2900000000009</v>
      </c>
      <c r="T25" s="502">
        <v>0.01</v>
      </c>
      <c r="U25" s="464">
        <v>8860.2900000000009</v>
      </c>
      <c r="V25" s="502">
        <v>0.01</v>
      </c>
      <c r="W25" s="791">
        <v>8860.2900000000009</v>
      </c>
      <c r="X25" s="502">
        <v>0.01</v>
      </c>
      <c r="Y25" s="464">
        <v>5764.92</v>
      </c>
      <c r="Z25" s="502">
        <v>0.01</v>
      </c>
      <c r="AA25" s="464">
        <v>45450.58</v>
      </c>
      <c r="AB25" s="502">
        <v>0.04</v>
      </c>
      <c r="AC25" s="464">
        <v>45450.58</v>
      </c>
      <c r="AD25" s="502">
        <v>0.04</v>
      </c>
      <c r="AE25" s="464">
        <v>45450.58</v>
      </c>
      <c r="AF25" s="502">
        <v>0.04</v>
      </c>
      <c r="AG25" s="832">
        <v>56777.58</v>
      </c>
      <c r="AH25" s="502">
        <v>0.05</v>
      </c>
      <c r="AI25" s="464">
        <v>56777.58</v>
      </c>
      <c r="AJ25" s="502">
        <v>0.05</v>
      </c>
      <c r="AK25" s="464">
        <v>51777.58</v>
      </c>
      <c r="AL25" s="502">
        <v>0.05</v>
      </c>
      <c r="AM25" s="464">
        <v>51777.58</v>
      </c>
      <c r="AN25" s="502">
        <v>0.05</v>
      </c>
      <c r="AO25" s="834">
        <v>54364.52</v>
      </c>
      <c r="AP25" s="502">
        <v>0.05</v>
      </c>
      <c r="AQ25" s="834">
        <v>56204.52</v>
      </c>
      <c r="AR25" s="502">
        <v>0.05</v>
      </c>
      <c r="AS25" s="834">
        <v>56204.52</v>
      </c>
      <c r="AT25" s="502">
        <v>0.05</v>
      </c>
      <c r="AU25" s="464">
        <v>41036.480000000003</v>
      </c>
      <c r="AV25" s="502">
        <v>0.04</v>
      </c>
    </row>
    <row r="26" spans="1:48" ht="15" customHeight="1">
      <c r="A26" s="554" t="s">
        <v>47</v>
      </c>
      <c r="B26" s="478" t="s">
        <v>58</v>
      </c>
      <c r="C26" s="48">
        <v>3000000</v>
      </c>
      <c r="D26" s="731">
        <v>2.87</v>
      </c>
      <c r="E26" s="807">
        <v>3000000</v>
      </c>
      <c r="F26" s="732">
        <v>2.87</v>
      </c>
      <c r="G26" s="807">
        <v>3000000</v>
      </c>
      <c r="H26" s="732">
        <v>2.89</v>
      </c>
      <c r="I26" s="807">
        <v>3000000</v>
      </c>
      <c r="J26" s="732">
        <v>2.88</v>
      </c>
      <c r="K26" s="807">
        <v>3000000</v>
      </c>
      <c r="L26" s="732">
        <v>2.88</v>
      </c>
      <c r="M26" s="807">
        <v>3000000</v>
      </c>
      <c r="N26" s="732">
        <v>2.88</v>
      </c>
      <c r="O26" s="807">
        <v>3000000</v>
      </c>
      <c r="P26" s="502">
        <v>2.88</v>
      </c>
      <c r="Q26" s="48">
        <v>3000000</v>
      </c>
      <c r="R26" s="502">
        <v>2.88</v>
      </c>
      <c r="S26" s="48">
        <v>3000000</v>
      </c>
      <c r="T26" s="502">
        <v>2.88</v>
      </c>
      <c r="U26" s="48">
        <v>3000000</v>
      </c>
      <c r="V26" s="502">
        <v>2.87</v>
      </c>
      <c r="W26" s="788">
        <v>3000000</v>
      </c>
      <c r="X26" s="502">
        <v>2.87</v>
      </c>
      <c r="Y26" s="48">
        <v>3000000</v>
      </c>
      <c r="Z26" s="502">
        <v>2.88</v>
      </c>
      <c r="AA26" s="48">
        <v>3000000</v>
      </c>
      <c r="AB26" s="502">
        <v>2.88</v>
      </c>
      <c r="AC26" s="48">
        <v>3000000</v>
      </c>
      <c r="AD26" s="502">
        <v>2.88</v>
      </c>
      <c r="AE26" s="48">
        <v>3000000</v>
      </c>
      <c r="AF26" s="502">
        <v>2.87</v>
      </c>
      <c r="AG26" s="48">
        <v>3000000</v>
      </c>
      <c r="AH26" s="502">
        <v>2.87</v>
      </c>
      <c r="AI26" s="48">
        <v>3000000</v>
      </c>
      <c r="AJ26" s="502">
        <v>2.88</v>
      </c>
      <c r="AK26" s="48">
        <v>3000000</v>
      </c>
      <c r="AL26" s="502">
        <v>2.88</v>
      </c>
      <c r="AM26" s="48">
        <v>3000000</v>
      </c>
      <c r="AN26" s="502">
        <v>2.87</v>
      </c>
      <c r="AO26" s="48">
        <v>3000000</v>
      </c>
      <c r="AP26" s="502">
        <v>2.87</v>
      </c>
      <c r="AQ26" s="48">
        <v>3000000</v>
      </c>
      <c r="AR26" s="502">
        <v>2.87</v>
      </c>
      <c r="AS26" s="48">
        <v>3000000</v>
      </c>
      <c r="AT26" s="502">
        <v>2.87</v>
      </c>
      <c r="AU26" s="48">
        <v>3000000</v>
      </c>
      <c r="AV26" s="502">
        <v>2.86</v>
      </c>
    </row>
    <row r="27" spans="1:48" ht="15" customHeight="1">
      <c r="A27" s="553" t="s">
        <v>47</v>
      </c>
      <c r="B27" s="478" t="s">
        <v>58</v>
      </c>
      <c r="C27" s="489">
        <v>910000</v>
      </c>
      <c r="D27" s="731">
        <v>0.87</v>
      </c>
      <c r="E27" s="808">
        <v>910000</v>
      </c>
      <c r="F27" s="732">
        <v>0.87</v>
      </c>
      <c r="G27" s="585">
        <v>370000</v>
      </c>
      <c r="H27" s="732">
        <v>0.36</v>
      </c>
      <c r="I27" s="585">
        <v>370000</v>
      </c>
      <c r="J27" s="732">
        <v>0.36</v>
      </c>
      <c r="K27" s="585">
        <v>370000</v>
      </c>
      <c r="L27" s="732">
        <v>0.35</v>
      </c>
      <c r="M27" s="585">
        <v>370000</v>
      </c>
      <c r="N27" s="732">
        <v>0.35</v>
      </c>
      <c r="O27" s="831">
        <v>370000</v>
      </c>
      <c r="P27" s="502">
        <v>0.36</v>
      </c>
      <c r="Q27" s="585">
        <v>1310000</v>
      </c>
      <c r="R27" s="502">
        <v>1.26</v>
      </c>
      <c r="S27" s="489">
        <v>1310000</v>
      </c>
      <c r="T27" s="502">
        <v>1.25</v>
      </c>
      <c r="U27" s="489">
        <v>1310000</v>
      </c>
      <c r="V27" s="502">
        <v>1.25</v>
      </c>
      <c r="W27" s="789">
        <v>310000</v>
      </c>
      <c r="X27" s="502">
        <v>0.3</v>
      </c>
      <c r="Y27" s="585">
        <v>165000</v>
      </c>
      <c r="Z27" s="502">
        <v>0.16</v>
      </c>
      <c r="AA27" s="585">
        <v>165000</v>
      </c>
      <c r="AB27" s="502">
        <v>0.16</v>
      </c>
      <c r="AC27" s="581">
        <v>265000</v>
      </c>
      <c r="AD27" s="502">
        <v>0.25</v>
      </c>
      <c r="AE27" s="581">
        <v>265000</v>
      </c>
      <c r="AF27" s="502">
        <v>0.25</v>
      </c>
      <c r="AG27" s="581">
        <v>265000</v>
      </c>
      <c r="AH27" s="502">
        <v>0.25</v>
      </c>
      <c r="AI27" s="581">
        <v>265000</v>
      </c>
      <c r="AJ27" s="502">
        <v>0.25</v>
      </c>
      <c r="AK27" s="585">
        <v>10000</v>
      </c>
      <c r="AL27" s="502">
        <v>0.01</v>
      </c>
      <c r="AM27" s="585">
        <v>10000</v>
      </c>
      <c r="AN27" s="502">
        <v>0.01</v>
      </c>
      <c r="AO27" s="585">
        <v>10000</v>
      </c>
      <c r="AP27" s="502">
        <v>0.01</v>
      </c>
      <c r="AQ27" s="585">
        <v>10000</v>
      </c>
      <c r="AR27" s="502">
        <v>0.01</v>
      </c>
      <c r="AS27" s="585">
        <v>2140000</v>
      </c>
      <c r="AT27" s="502">
        <v>2.0499999999999998</v>
      </c>
      <c r="AU27" s="585">
        <v>2860000</v>
      </c>
      <c r="AV27" s="502">
        <v>2.73</v>
      </c>
    </row>
    <row r="28" spans="1:48" ht="15" customHeight="1">
      <c r="A28" s="553" t="s">
        <v>47</v>
      </c>
      <c r="B28" s="478" t="s">
        <v>100</v>
      </c>
      <c r="C28" s="48">
        <v>2000000</v>
      </c>
      <c r="D28" s="732">
        <v>1.91</v>
      </c>
      <c r="E28" s="807">
        <v>2000000</v>
      </c>
      <c r="F28" s="732">
        <v>1.91</v>
      </c>
      <c r="G28" s="807">
        <v>2000000</v>
      </c>
      <c r="H28" s="732">
        <v>1.92</v>
      </c>
      <c r="I28" s="807">
        <v>2000000</v>
      </c>
      <c r="J28" s="732">
        <v>1.92</v>
      </c>
      <c r="K28" s="807">
        <v>2000000</v>
      </c>
      <c r="L28" s="732">
        <v>1.92</v>
      </c>
      <c r="M28" s="807">
        <v>2000000</v>
      </c>
      <c r="N28" s="732">
        <v>1.92</v>
      </c>
      <c r="O28" s="807">
        <v>2000000</v>
      </c>
      <c r="P28" s="502">
        <v>1.92</v>
      </c>
      <c r="Q28" s="48">
        <v>2000000</v>
      </c>
      <c r="R28" s="502">
        <v>1.92</v>
      </c>
      <c r="S28" s="48">
        <v>2000000</v>
      </c>
      <c r="T28" s="502">
        <v>1.92</v>
      </c>
      <c r="U28" s="48">
        <v>2000000</v>
      </c>
      <c r="V28" s="502">
        <v>1.92</v>
      </c>
      <c r="W28" s="788">
        <v>2000000</v>
      </c>
      <c r="X28" s="502">
        <v>1.92</v>
      </c>
      <c r="Y28" s="48">
        <v>2000000</v>
      </c>
      <c r="Z28" s="502">
        <v>1.92</v>
      </c>
      <c r="AA28" s="48">
        <v>2000000</v>
      </c>
      <c r="AB28" s="502">
        <v>1.92</v>
      </c>
      <c r="AC28" s="48">
        <v>2000000</v>
      </c>
      <c r="AD28" s="502">
        <v>1.92</v>
      </c>
      <c r="AE28" s="48">
        <v>2000000</v>
      </c>
      <c r="AF28" s="502">
        <v>1.92</v>
      </c>
      <c r="AG28" s="48">
        <v>2000000</v>
      </c>
      <c r="AH28" s="502">
        <v>1.92</v>
      </c>
      <c r="AI28" s="48">
        <v>2000000</v>
      </c>
      <c r="AJ28" s="502">
        <v>1.92</v>
      </c>
      <c r="AK28" s="48">
        <v>2000000</v>
      </c>
      <c r="AL28" s="502">
        <v>1.91</v>
      </c>
      <c r="AM28" s="48">
        <v>2000000</v>
      </c>
      <c r="AN28" s="502">
        <v>1.91</v>
      </c>
      <c r="AO28" s="48">
        <v>2000000</v>
      </c>
      <c r="AP28" s="502">
        <v>1.91</v>
      </c>
      <c r="AQ28" s="48">
        <v>2000000</v>
      </c>
      <c r="AR28" s="502">
        <v>1.91</v>
      </c>
      <c r="AS28" s="581">
        <v>0</v>
      </c>
      <c r="AT28" s="502">
        <v>0</v>
      </c>
      <c r="AU28" s="581">
        <v>0</v>
      </c>
      <c r="AV28" s="502">
        <v>0</v>
      </c>
    </row>
    <row r="29" spans="1:48" ht="15" customHeight="1">
      <c r="A29" s="554" t="s">
        <v>47</v>
      </c>
      <c r="B29" s="478" t="s">
        <v>103</v>
      </c>
      <c r="C29" s="479">
        <v>4000000</v>
      </c>
      <c r="D29" s="731">
        <v>3.82</v>
      </c>
      <c r="E29" s="809">
        <v>4000000</v>
      </c>
      <c r="F29" s="732">
        <v>3.82</v>
      </c>
      <c r="G29" s="809">
        <v>4000000</v>
      </c>
      <c r="H29" s="732">
        <v>3.85</v>
      </c>
      <c r="I29" s="809">
        <v>4000000</v>
      </c>
      <c r="J29" s="732">
        <v>3.84</v>
      </c>
      <c r="K29" s="809">
        <v>4000000</v>
      </c>
      <c r="L29" s="732">
        <v>3.84</v>
      </c>
      <c r="M29" s="809">
        <v>4000000</v>
      </c>
      <c r="N29" s="732">
        <v>3.84</v>
      </c>
      <c r="O29" s="809">
        <v>4000000</v>
      </c>
      <c r="P29" s="502">
        <v>3.84</v>
      </c>
      <c r="Q29" s="479">
        <v>4000000</v>
      </c>
      <c r="R29" s="502">
        <v>3.84</v>
      </c>
      <c r="S29" s="479">
        <v>4000000</v>
      </c>
      <c r="T29" s="502">
        <v>3.84</v>
      </c>
      <c r="U29" s="479">
        <v>4000000</v>
      </c>
      <c r="V29" s="502">
        <v>3.83</v>
      </c>
      <c r="W29" s="767">
        <v>5000000</v>
      </c>
      <c r="X29" s="502">
        <v>4.79</v>
      </c>
      <c r="Y29" s="592">
        <v>5000000</v>
      </c>
      <c r="Z29" s="502">
        <v>4.8</v>
      </c>
      <c r="AA29" s="592">
        <v>5000000</v>
      </c>
      <c r="AB29" s="502">
        <v>4.8</v>
      </c>
      <c r="AC29" s="479">
        <v>5000000</v>
      </c>
      <c r="AD29" s="502">
        <v>4.79</v>
      </c>
      <c r="AE29" s="479">
        <v>5000000</v>
      </c>
      <c r="AF29" s="502">
        <v>4.79</v>
      </c>
      <c r="AG29" s="479">
        <v>5000000</v>
      </c>
      <c r="AH29" s="502">
        <v>4.79</v>
      </c>
      <c r="AI29" s="479">
        <v>5000000</v>
      </c>
      <c r="AJ29" s="502">
        <v>4.79</v>
      </c>
      <c r="AK29" s="479">
        <v>5000000</v>
      </c>
      <c r="AL29" s="502">
        <v>4.79</v>
      </c>
      <c r="AM29" s="479">
        <v>5000000</v>
      </c>
      <c r="AN29" s="502">
        <v>4.79</v>
      </c>
      <c r="AO29" s="479">
        <v>5000000</v>
      </c>
      <c r="AP29" s="502">
        <v>4.78</v>
      </c>
      <c r="AQ29" s="479">
        <v>5000000</v>
      </c>
      <c r="AR29" s="502">
        <v>4.78</v>
      </c>
      <c r="AS29" s="479">
        <v>5000000</v>
      </c>
      <c r="AT29" s="502">
        <v>4.78</v>
      </c>
      <c r="AU29" s="479">
        <v>5000000</v>
      </c>
      <c r="AV29" s="502">
        <v>4.7699999999999996</v>
      </c>
    </row>
    <row r="30" spans="1:48" ht="15">
      <c r="A30" s="554" t="s">
        <v>47</v>
      </c>
      <c r="B30" s="478" t="s">
        <v>103</v>
      </c>
      <c r="C30" s="479">
        <v>3000000</v>
      </c>
      <c r="D30" s="731">
        <v>2.87</v>
      </c>
      <c r="E30" s="809">
        <v>3000000</v>
      </c>
      <c r="F30" s="732">
        <v>2.87</v>
      </c>
      <c r="G30" s="809">
        <v>3000000</v>
      </c>
      <c r="H30" s="732">
        <v>2.89</v>
      </c>
      <c r="I30" s="809">
        <v>3000000</v>
      </c>
      <c r="J30" s="732">
        <v>2.88</v>
      </c>
      <c r="K30" s="809">
        <v>3000000</v>
      </c>
      <c r="L30" s="732">
        <v>2.88</v>
      </c>
      <c r="M30" s="809">
        <v>3000000</v>
      </c>
      <c r="N30" s="732">
        <v>2.88</v>
      </c>
      <c r="O30" s="809">
        <v>3000000</v>
      </c>
      <c r="P30" s="502">
        <v>2.88</v>
      </c>
      <c r="Q30" s="479">
        <v>3000000</v>
      </c>
      <c r="R30" s="502">
        <v>2.88</v>
      </c>
      <c r="S30" s="479">
        <v>3000000</v>
      </c>
      <c r="T30" s="502">
        <v>2.88</v>
      </c>
      <c r="U30" s="479">
        <v>3000000</v>
      </c>
      <c r="V30" s="502">
        <v>2.87</v>
      </c>
      <c r="W30" s="510">
        <v>3000000</v>
      </c>
      <c r="X30" s="502">
        <v>2.88</v>
      </c>
      <c r="Y30" s="479">
        <v>3000000</v>
      </c>
      <c r="Z30" s="502">
        <v>2.88</v>
      </c>
      <c r="AA30" s="479">
        <v>3000000</v>
      </c>
      <c r="AB30" s="502">
        <v>2.88</v>
      </c>
      <c r="AC30" s="479">
        <v>3000000</v>
      </c>
      <c r="AD30" s="502">
        <v>2.88</v>
      </c>
      <c r="AE30" s="479">
        <v>3000000</v>
      </c>
      <c r="AF30" s="502">
        <v>2.88</v>
      </c>
      <c r="AG30" s="479">
        <v>3000000</v>
      </c>
      <c r="AH30" s="502">
        <v>2.88</v>
      </c>
      <c r="AI30" s="479">
        <v>3000000</v>
      </c>
      <c r="AJ30" s="502">
        <v>2.88</v>
      </c>
      <c r="AK30" s="479">
        <v>3000000</v>
      </c>
      <c r="AL30" s="502">
        <v>2.88</v>
      </c>
      <c r="AM30" s="479">
        <v>3000000</v>
      </c>
      <c r="AN30" s="502">
        <v>2.87</v>
      </c>
      <c r="AO30" s="479">
        <v>3000000</v>
      </c>
      <c r="AP30" s="502">
        <v>2.87</v>
      </c>
      <c r="AQ30" s="479">
        <v>3000000</v>
      </c>
      <c r="AR30" s="502">
        <v>2.87</v>
      </c>
      <c r="AS30" s="479">
        <v>3000000</v>
      </c>
      <c r="AT30" s="502">
        <v>2.87</v>
      </c>
      <c r="AU30" s="479">
        <v>3000000</v>
      </c>
      <c r="AV30" s="502">
        <v>2.86</v>
      </c>
    </row>
    <row r="31" spans="1:48" ht="15" customHeight="1">
      <c r="A31" s="554" t="s">
        <v>47</v>
      </c>
      <c r="B31" s="478" t="s">
        <v>95</v>
      </c>
      <c r="C31" s="781">
        <v>5000000</v>
      </c>
      <c r="D31" s="731">
        <v>4.78</v>
      </c>
      <c r="E31" s="810">
        <v>5000000</v>
      </c>
      <c r="F31" s="732">
        <v>4.78</v>
      </c>
      <c r="G31" s="810">
        <v>5000000</v>
      </c>
      <c r="H31" s="732">
        <v>4.8099999999999996</v>
      </c>
      <c r="I31" s="810">
        <v>5000000</v>
      </c>
      <c r="J31" s="732">
        <v>4.8</v>
      </c>
      <c r="K31" s="810">
        <v>5000000</v>
      </c>
      <c r="L31" s="732">
        <v>4.8</v>
      </c>
      <c r="M31" s="810">
        <v>5000000</v>
      </c>
      <c r="N31" s="732">
        <v>4.8</v>
      </c>
      <c r="O31" s="810">
        <v>5000000</v>
      </c>
      <c r="P31" s="502">
        <v>4.8</v>
      </c>
      <c r="Q31" s="781">
        <v>5000000</v>
      </c>
      <c r="R31" s="502">
        <v>4.79</v>
      </c>
      <c r="S31" s="781">
        <v>5000000</v>
      </c>
      <c r="T31" s="502">
        <v>4.8</v>
      </c>
      <c r="U31" s="781">
        <v>5000000</v>
      </c>
      <c r="V31" s="502">
        <v>4.79</v>
      </c>
      <c r="W31" s="787">
        <v>5000000</v>
      </c>
      <c r="X31" s="502">
        <v>4.79</v>
      </c>
      <c r="Y31" s="781">
        <v>5000000</v>
      </c>
      <c r="Z31" s="502">
        <v>4.8</v>
      </c>
      <c r="AA31" s="781">
        <v>5000000</v>
      </c>
      <c r="AB31" s="502">
        <v>4.8</v>
      </c>
      <c r="AC31" s="781">
        <v>5000000</v>
      </c>
      <c r="AD31" s="502">
        <v>4.79</v>
      </c>
      <c r="AE31" s="781">
        <v>5000000</v>
      </c>
      <c r="AF31" s="502">
        <v>4.79</v>
      </c>
      <c r="AG31" s="781">
        <v>5000000</v>
      </c>
      <c r="AH31" s="502">
        <v>4.79</v>
      </c>
      <c r="AI31" s="781">
        <v>5000000</v>
      </c>
      <c r="AJ31" s="502">
        <v>4.79</v>
      </c>
      <c r="AK31" s="781">
        <v>5000000</v>
      </c>
      <c r="AL31" s="502">
        <v>4.79</v>
      </c>
      <c r="AM31" s="781">
        <v>5000000</v>
      </c>
      <c r="AN31" s="502">
        <v>4.79</v>
      </c>
      <c r="AO31" s="781">
        <v>5000000</v>
      </c>
      <c r="AP31" s="502">
        <v>4.78</v>
      </c>
      <c r="AQ31" s="781">
        <v>5000000</v>
      </c>
      <c r="AR31" s="502">
        <v>4.79</v>
      </c>
      <c r="AS31" s="781">
        <v>5000000</v>
      </c>
      <c r="AT31" s="502">
        <v>4.78</v>
      </c>
      <c r="AU31" s="781">
        <v>5000000</v>
      </c>
      <c r="AV31" s="502">
        <v>4.7699999999999996</v>
      </c>
    </row>
    <row r="32" spans="1:48" ht="15">
      <c r="A32" s="554" t="s">
        <v>47</v>
      </c>
      <c r="B32" s="478" t="s">
        <v>95</v>
      </c>
      <c r="C32" s="781">
        <v>1500000</v>
      </c>
      <c r="D32" s="731">
        <v>1.43</v>
      </c>
      <c r="E32" s="810">
        <v>1500000</v>
      </c>
      <c r="F32" s="732">
        <v>1.43</v>
      </c>
      <c r="G32" s="810">
        <v>1500000</v>
      </c>
      <c r="H32" s="732">
        <v>1.44</v>
      </c>
      <c r="I32" s="810">
        <v>1500000</v>
      </c>
      <c r="J32" s="732">
        <v>1.44</v>
      </c>
      <c r="K32" s="810">
        <v>1500000</v>
      </c>
      <c r="L32" s="732">
        <v>1.44</v>
      </c>
      <c r="M32" s="810">
        <v>1500000</v>
      </c>
      <c r="N32" s="732">
        <v>1.44</v>
      </c>
      <c r="O32" s="810">
        <v>1500000</v>
      </c>
      <c r="P32" s="502">
        <v>1.44</v>
      </c>
      <c r="Q32" s="781">
        <v>1500000</v>
      </c>
      <c r="R32" s="502">
        <v>1.44</v>
      </c>
      <c r="S32" s="781">
        <v>1500000</v>
      </c>
      <c r="T32" s="502">
        <v>1.44</v>
      </c>
      <c r="U32" s="781">
        <v>1500000</v>
      </c>
      <c r="V32" s="502">
        <v>1.44</v>
      </c>
      <c r="W32" s="787">
        <v>1500000</v>
      </c>
      <c r="X32" s="502">
        <v>1.44</v>
      </c>
      <c r="Y32" s="781">
        <v>1500000</v>
      </c>
      <c r="Z32" s="502">
        <v>1.44</v>
      </c>
      <c r="AA32" s="781">
        <v>1500000</v>
      </c>
      <c r="AB32" s="502">
        <v>1.44</v>
      </c>
      <c r="AC32" s="781">
        <v>1500000</v>
      </c>
      <c r="AD32" s="502">
        <v>1.44</v>
      </c>
      <c r="AE32" s="781">
        <v>1500000</v>
      </c>
      <c r="AF32" s="502">
        <v>1.44</v>
      </c>
      <c r="AG32" s="781">
        <v>1500000</v>
      </c>
      <c r="AH32" s="502">
        <v>1.44</v>
      </c>
      <c r="AI32" s="781">
        <v>1500000</v>
      </c>
      <c r="AJ32" s="502">
        <v>1.44</v>
      </c>
      <c r="AK32" s="781">
        <v>1500000</v>
      </c>
      <c r="AL32" s="502">
        <v>1.44</v>
      </c>
      <c r="AM32" s="781">
        <v>1500000</v>
      </c>
      <c r="AN32" s="502">
        <v>1.44</v>
      </c>
      <c r="AO32" s="781">
        <v>1500000</v>
      </c>
      <c r="AP32" s="502">
        <v>1.43</v>
      </c>
      <c r="AQ32" s="781">
        <v>1500000</v>
      </c>
      <c r="AR32" s="502">
        <v>1.44</v>
      </c>
      <c r="AS32" s="781">
        <v>1500000</v>
      </c>
      <c r="AT32" s="502">
        <v>1.43</v>
      </c>
      <c r="AU32" s="781">
        <v>1500000</v>
      </c>
      <c r="AV32" s="502">
        <v>1.43</v>
      </c>
    </row>
    <row r="33" spans="1:48" ht="15">
      <c r="A33" s="554" t="s">
        <v>47</v>
      </c>
      <c r="B33" s="478" t="s">
        <v>125</v>
      </c>
      <c r="C33" s="781">
        <v>4500000</v>
      </c>
      <c r="D33" s="731">
        <v>4.3</v>
      </c>
      <c r="E33" s="810">
        <v>4500000</v>
      </c>
      <c r="F33" s="732">
        <v>4.3</v>
      </c>
      <c r="G33" s="810">
        <v>4500000</v>
      </c>
      <c r="H33" s="732">
        <v>4.33</v>
      </c>
      <c r="I33" s="810">
        <v>4500000</v>
      </c>
      <c r="J33" s="732">
        <v>4.32</v>
      </c>
      <c r="K33" s="810">
        <v>4500000</v>
      </c>
      <c r="L33" s="732">
        <v>4.32</v>
      </c>
      <c r="M33" s="810">
        <v>4500000</v>
      </c>
      <c r="N33" s="732">
        <v>4.32</v>
      </c>
      <c r="O33" s="810">
        <v>4500000</v>
      </c>
      <c r="P33" s="502">
        <v>4.32</v>
      </c>
      <c r="Q33" s="781">
        <v>4500000</v>
      </c>
      <c r="R33" s="502">
        <v>4.3100000000000005</v>
      </c>
      <c r="S33" s="781">
        <v>4500000</v>
      </c>
      <c r="T33" s="502">
        <v>4.32</v>
      </c>
      <c r="U33" s="781">
        <v>4500000</v>
      </c>
      <c r="V33" s="502">
        <v>4.3099999999999996</v>
      </c>
      <c r="W33" s="787">
        <v>4500000</v>
      </c>
      <c r="X33" s="502">
        <v>4.3099999999999996</v>
      </c>
      <c r="Y33" s="781">
        <v>4500000</v>
      </c>
      <c r="Z33" s="502">
        <v>4.32</v>
      </c>
      <c r="AA33" s="781">
        <v>4500000</v>
      </c>
      <c r="AB33" s="502">
        <v>4.32</v>
      </c>
      <c r="AC33" s="781">
        <v>4500000</v>
      </c>
      <c r="AD33" s="502">
        <v>4.32</v>
      </c>
      <c r="AE33" s="781">
        <v>4500000</v>
      </c>
      <c r="AF33" s="502">
        <v>4.3099999999999996</v>
      </c>
      <c r="AG33" s="781">
        <v>4500000</v>
      </c>
      <c r="AH33" s="502">
        <v>4.3099999999999996</v>
      </c>
      <c r="AI33" s="781">
        <v>4500000</v>
      </c>
      <c r="AJ33" s="502">
        <v>4.3099999999999996</v>
      </c>
      <c r="AK33" s="781">
        <v>4500000</v>
      </c>
      <c r="AL33" s="502">
        <v>4.3099999999999996</v>
      </c>
      <c r="AM33" s="781">
        <v>4500000</v>
      </c>
      <c r="AN33" s="502">
        <v>4.3099999999999996</v>
      </c>
      <c r="AO33" s="781">
        <v>4500000</v>
      </c>
      <c r="AP33" s="502">
        <v>4.3</v>
      </c>
      <c r="AQ33" s="781">
        <v>4500000</v>
      </c>
      <c r="AR33" s="502">
        <v>4.3099999999999996</v>
      </c>
      <c r="AS33" s="781">
        <v>4500000</v>
      </c>
      <c r="AT33" s="502">
        <v>4.3099999999999996</v>
      </c>
      <c r="AU33" s="781">
        <v>4500000</v>
      </c>
      <c r="AV33" s="502">
        <v>4.3</v>
      </c>
    </row>
    <row r="34" spans="1:48" ht="15">
      <c r="A34" s="554" t="s">
        <v>47</v>
      </c>
      <c r="B34" s="478" t="s">
        <v>125</v>
      </c>
      <c r="C34" s="48">
        <v>1000000</v>
      </c>
      <c r="D34" s="731">
        <v>0.96</v>
      </c>
      <c r="E34" s="807">
        <v>1000000</v>
      </c>
      <c r="F34" s="732">
        <v>0.96</v>
      </c>
      <c r="G34" s="807">
        <v>1000000</v>
      </c>
      <c r="H34" s="732">
        <v>0.96</v>
      </c>
      <c r="I34" s="807">
        <v>1000000</v>
      </c>
      <c r="J34" s="732">
        <v>0.96</v>
      </c>
      <c r="K34" s="807">
        <v>1000000</v>
      </c>
      <c r="L34" s="732">
        <v>0.96</v>
      </c>
      <c r="M34" s="807">
        <v>1000000</v>
      </c>
      <c r="N34" s="732">
        <v>0.96</v>
      </c>
      <c r="O34" s="807">
        <v>1000000</v>
      </c>
      <c r="P34" s="502">
        <v>0.96</v>
      </c>
      <c r="Q34" s="48">
        <v>1000000</v>
      </c>
      <c r="R34" s="502">
        <v>0.96</v>
      </c>
      <c r="S34" s="48">
        <v>1000000</v>
      </c>
      <c r="T34" s="502">
        <v>0.96</v>
      </c>
      <c r="U34" s="48">
        <v>1000000</v>
      </c>
      <c r="V34" s="502">
        <v>0.96</v>
      </c>
      <c r="W34" s="788">
        <v>1000000</v>
      </c>
      <c r="X34" s="502">
        <v>0.96</v>
      </c>
      <c r="Y34" s="48">
        <v>1000000</v>
      </c>
      <c r="Z34" s="502">
        <v>0.96</v>
      </c>
      <c r="AA34" s="48">
        <v>1000000</v>
      </c>
      <c r="AB34" s="502">
        <v>0.96</v>
      </c>
      <c r="AC34" s="48">
        <v>1000000</v>
      </c>
      <c r="AD34" s="502">
        <v>0.96</v>
      </c>
      <c r="AE34" s="48">
        <v>1000000</v>
      </c>
      <c r="AF34" s="502">
        <v>0.96</v>
      </c>
      <c r="AG34" s="48">
        <v>1000000</v>
      </c>
      <c r="AH34" s="502">
        <v>0.96</v>
      </c>
      <c r="AI34" s="48">
        <v>1000000</v>
      </c>
      <c r="AJ34" s="502">
        <v>0.96</v>
      </c>
      <c r="AK34" s="48">
        <v>1000000</v>
      </c>
      <c r="AL34" s="502">
        <v>0.96</v>
      </c>
      <c r="AM34" s="48">
        <v>1000000</v>
      </c>
      <c r="AN34" s="502">
        <v>0.96</v>
      </c>
      <c r="AO34" s="48">
        <v>1000000</v>
      </c>
      <c r="AP34" s="502">
        <v>0.96</v>
      </c>
      <c r="AQ34" s="48">
        <v>1000000</v>
      </c>
      <c r="AR34" s="502">
        <v>0.96</v>
      </c>
      <c r="AS34" s="48">
        <v>1000000</v>
      </c>
      <c r="AT34" s="502">
        <v>0.96</v>
      </c>
      <c r="AU34" s="48">
        <v>1000000</v>
      </c>
      <c r="AV34" s="502">
        <v>0.96</v>
      </c>
    </row>
    <row r="35" spans="1:48" thickBot="1">
      <c r="A35" s="554" t="s">
        <v>47</v>
      </c>
      <c r="B35" s="478" t="s">
        <v>125</v>
      </c>
      <c r="C35" s="48">
        <v>1000000</v>
      </c>
      <c r="D35" s="776">
        <v>0.96</v>
      </c>
      <c r="E35" s="807">
        <v>1000000</v>
      </c>
      <c r="F35" s="811">
        <v>0.96</v>
      </c>
      <c r="G35" s="807">
        <v>1000000</v>
      </c>
      <c r="H35" s="811">
        <v>0.96</v>
      </c>
      <c r="I35" s="807">
        <v>1000000</v>
      </c>
      <c r="J35" s="811">
        <v>0.96</v>
      </c>
      <c r="K35" s="807">
        <v>1000000</v>
      </c>
      <c r="L35" s="811">
        <v>0.96</v>
      </c>
      <c r="M35" s="807">
        <v>1000000</v>
      </c>
      <c r="N35" s="811">
        <v>0.96</v>
      </c>
      <c r="O35" s="807">
        <v>1000000</v>
      </c>
      <c r="P35" s="502">
        <v>0.96</v>
      </c>
      <c r="Q35" s="48">
        <v>1000000</v>
      </c>
      <c r="R35" s="502">
        <v>0.96</v>
      </c>
      <c r="S35" s="48">
        <v>1000000</v>
      </c>
      <c r="T35" s="502">
        <v>0.96</v>
      </c>
      <c r="U35" s="48">
        <v>1000000</v>
      </c>
      <c r="V35" s="502">
        <v>0.96</v>
      </c>
      <c r="W35" s="788">
        <v>1000000</v>
      </c>
      <c r="X35" s="502">
        <v>0.96</v>
      </c>
      <c r="Y35" s="48">
        <v>1000000</v>
      </c>
      <c r="Z35" s="502">
        <v>0.96</v>
      </c>
      <c r="AA35" s="48">
        <v>1000000</v>
      </c>
      <c r="AB35" s="502">
        <v>0.96</v>
      </c>
      <c r="AC35" s="48">
        <v>1000000</v>
      </c>
      <c r="AD35" s="502">
        <v>0.96</v>
      </c>
      <c r="AE35" s="48">
        <v>1000000</v>
      </c>
      <c r="AF35" s="502">
        <v>0.96</v>
      </c>
      <c r="AG35" s="48">
        <v>1000000</v>
      </c>
      <c r="AH35" s="502">
        <v>0.96</v>
      </c>
      <c r="AI35" s="48">
        <v>1000000</v>
      </c>
      <c r="AJ35" s="502">
        <v>0.96</v>
      </c>
      <c r="AK35" s="48">
        <v>1000000</v>
      </c>
      <c r="AL35" s="502">
        <v>0.96</v>
      </c>
      <c r="AM35" s="48">
        <v>1000000</v>
      </c>
      <c r="AN35" s="502">
        <v>0.96</v>
      </c>
      <c r="AO35" s="48">
        <v>1000000</v>
      </c>
      <c r="AP35" s="502">
        <v>0.96</v>
      </c>
      <c r="AQ35" s="48">
        <v>1000000</v>
      </c>
      <c r="AR35" s="502">
        <v>0.96</v>
      </c>
      <c r="AS35" s="48">
        <v>1000000</v>
      </c>
      <c r="AT35" s="502">
        <v>0.96</v>
      </c>
      <c r="AU35" s="48">
        <v>1000000</v>
      </c>
      <c r="AV35" s="502">
        <v>0.96</v>
      </c>
    </row>
    <row r="36" spans="1:48" ht="16.5" thickBot="1">
      <c r="A36" s="1028" t="s">
        <v>111</v>
      </c>
      <c r="B36" s="1052"/>
      <c r="C36" s="601">
        <f t="shared" ref="C36:D36" si="69">SUM(C23:C35)</f>
        <v>26021761.259999998</v>
      </c>
      <c r="D36" s="601">
        <f t="shared" si="69"/>
        <v>24.870000000000005</v>
      </c>
      <c r="E36" s="601">
        <f t="shared" ref="E36:G36" si="70">SUM(E23:E35)</f>
        <v>25973435.91</v>
      </c>
      <c r="F36" s="601">
        <f>SUM(F23:F35)</f>
        <v>24.830000000000002</v>
      </c>
      <c r="G36" s="601">
        <f t="shared" si="70"/>
        <v>25402925.620000001</v>
      </c>
      <c r="H36" s="601">
        <f>SUM(H23:H35)</f>
        <v>24.440000000000005</v>
      </c>
      <c r="I36" s="601">
        <f t="shared" ref="I36:K36" si="71">SUM(I23:I35)</f>
        <v>25405431.620000001</v>
      </c>
      <c r="J36" s="601">
        <f>SUM(J23:J35)</f>
        <v>24.400000000000002</v>
      </c>
      <c r="K36" s="601">
        <f t="shared" si="71"/>
        <v>25414527.23</v>
      </c>
      <c r="L36" s="601">
        <f>SUM(L23:L35)</f>
        <v>24.390000000000004</v>
      </c>
      <c r="M36" s="601">
        <f t="shared" ref="M36:O36" si="72">SUM(M23:M35)</f>
        <v>25445950.210000001</v>
      </c>
      <c r="N36" s="601">
        <f>SUM(N23:N35)</f>
        <v>24.42</v>
      </c>
      <c r="O36" s="601">
        <f t="shared" si="72"/>
        <v>26324683.649999999</v>
      </c>
      <c r="P36" s="601">
        <f>SUM(P23:P35)</f>
        <v>25.280000000000005</v>
      </c>
      <c r="Q36" s="601">
        <f t="shared" ref="Q36:S36" si="73">SUM(Q23:Q35)</f>
        <v>26325790.649999999</v>
      </c>
      <c r="R36" s="601">
        <f>SUM(R23:R35)</f>
        <v>25.25</v>
      </c>
      <c r="S36" s="601">
        <f t="shared" si="73"/>
        <v>26332103.649999999</v>
      </c>
      <c r="T36" s="601">
        <f>SUM(T23:T35)</f>
        <v>25.270000000000003</v>
      </c>
      <c r="U36" s="601">
        <f t="shared" ref="U36:W36" si="74">SUM(U23:U35)</f>
        <v>26332103.649999999</v>
      </c>
      <c r="V36" s="601">
        <f>SUM(V23:V35)</f>
        <v>25.220000000000002</v>
      </c>
      <c r="W36" s="601">
        <f t="shared" si="74"/>
        <v>26348213.240000002</v>
      </c>
      <c r="X36" s="601">
        <f>SUM(X23:X35)</f>
        <v>25.26</v>
      </c>
      <c r="Y36" s="601">
        <f t="shared" ref="Y36:AA36" si="75">SUM(Y23:Y35)</f>
        <v>26220321.77</v>
      </c>
      <c r="Z36" s="601">
        <f>SUM(Z23:Z35)</f>
        <v>25.160000000000004</v>
      </c>
      <c r="AA36" s="601">
        <f t="shared" si="75"/>
        <v>26320007.43</v>
      </c>
      <c r="AB36" s="601">
        <f>SUM(AB23:AB35)</f>
        <v>25.270000000000003</v>
      </c>
      <c r="AC36" s="601">
        <f t="shared" ref="AC36:AE36" si="76">SUM(AC23:AC35)</f>
        <v>26320007.43</v>
      </c>
      <c r="AD36" s="601">
        <f>SUM(AD23:AD35)</f>
        <v>25.240000000000002</v>
      </c>
      <c r="AE36" s="601">
        <f t="shared" si="76"/>
        <v>26320007.43</v>
      </c>
      <c r="AF36" s="601">
        <f>SUM(AF23:AF35)</f>
        <v>25.22</v>
      </c>
      <c r="AG36" s="601">
        <f t="shared" ref="AG36:AI36" si="77">SUM(AG23:AG35)</f>
        <v>26377772.59</v>
      </c>
      <c r="AH36" s="601">
        <f>SUM(AH23:AH35)</f>
        <v>25.27</v>
      </c>
      <c r="AI36" s="601">
        <f t="shared" si="77"/>
        <v>31063634.59</v>
      </c>
      <c r="AJ36" s="601">
        <f>SUM(AJ23:AJ35)</f>
        <v>29.77</v>
      </c>
      <c r="AK36" s="601">
        <f t="shared" ref="AK36:AM36" si="78">SUM(AK23:AK35)</f>
        <v>26063762.890000001</v>
      </c>
      <c r="AL36" s="601">
        <f>SUM(AL23:AL35)</f>
        <v>24.98</v>
      </c>
      <c r="AM36" s="601">
        <f t="shared" si="78"/>
        <v>26063762.890000001</v>
      </c>
      <c r="AN36" s="601">
        <f>SUM(AN23:AN35)</f>
        <v>24.96</v>
      </c>
      <c r="AO36" s="601">
        <f t="shared" ref="AO36" si="79">SUM(AO23:AO35)</f>
        <v>26076623.800000001</v>
      </c>
      <c r="AP36" s="601">
        <f>SUM(AP23:AP35)</f>
        <v>24.930000000000003</v>
      </c>
      <c r="AQ36" s="601">
        <f t="shared" ref="AQ36:AS36" si="80">SUM(AQ23:AQ35)</f>
        <v>26078463.800000001</v>
      </c>
      <c r="AR36" s="601">
        <f>SUM(AR23:AR35)</f>
        <v>24.96</v>
      </c>
      <c r="AS36" s="601">
        <f t="shared" si="80"/>
        <v>26917064.460000001</v>
      </c>
      <c r="AT36" s="601">
        <f>SUM(AT23:AT35)</f>
        <v>25.750000000000004</v>
      </c>
      <c r="AU36" s="601">
        <f t="shared" ref="AU36" si="81">SUM(AU23:AU35)</f>
        <v>26901896.420000002</v>
      </c>
      <c r="AV36" s="601">
        <f>SUM(AV23:AV35)</f>
        <v>25.68</v>
      </c>
    </row>
    <row r="37" spans="1:48" ht="16.5" thickBot="1">
      <c r="A37" s="1029" t="s">
        <v>48</v>
      </c>
      <c r="B37" s="1053"/>
      <c r="C37" s="609"/>
      <c r="D37" s="661"/>
      <c r="E37" s="609"/>
      <c r="F37" s="661"/>
      <c r="G37" s="609"/>
      <c r="H37" s="661"/>
      <c r="I37" s="609"/>
      <c r="J37" s="661"/>
      <c r="K37" s="609"/>
      <c r="L37" s="661"/>
      <c r="M37" s="609"/>
      <c r="N37" s="661"/>
      <c r="O37" s="609"/>
      <c r="P37" s="661"/>
      <c r="Q37" s="609"/>
      <c r="R37" s="661"/>
      <c r="S37" s="609"/>
      <c r="T37" s="661"/>
      <c r="U37" s="609"/>
      <c r="V37" s="661"/>
      <c r="W37" s="609"/>
      <c r="X37" s="661"/>
      <c r="Y37" s="609"/>
      <c r="Z37" s="661"/>
      <c r="AA37" s="609"/>
      <c r="AB37" s="661"/>
      <c r="AC37" s="609"/>
      <c r="AD37" s="661"/>
      <c r="AE37" s="609"/>
      <c r="AF37" s="661"/>
      <c r="AG37" s="609"/>
      <c r="AH37" s="661"/>
      <c r="AI37" s="609"/>
      <c r="AJ37" s="661"/>
      <c r="AK37" s="609"/>
      <c r="AL37" s="661"/>
      <c r="AM37" s="609"/>
      <c r="AN37" s="661"/>
      <c r="AO37" s="609"/>
      <c r="AP37" s="661"/>
      <c r="AQ37" s="609"/>
      <c r="AR37" s="661"/>
      <c r="AS37" s="609"/>
      <c r="AT37" s="661"/>
      <c r="AU37" s="609"/>
      <c r="AV37" s="661"/>
    </row>
    <row r="38" spans="1:48" ht="16.5" thickBot="1">
      <c r="A38" s="1031" t="s">
        <v>111</v>
      </c>
      <c r="B38" s="1051"/>
      <c r="C38" s="610"/>
      <c r="D38" s="662"/>
      <c r="E38" s="610"/>
      <c r="F38" s="662"/>
      <c r="G38" s="610"/>
      <c r="H38" s="662"/>
      <c r="I38" s="610"/>
      <c r="J38" s="662"/>
      <c r="K38" s="610"/>
      <c r="L38" s="662"/>
      <c r="M38" s="610"/>
      <c r="N38" s="662"/>
      <c r="O38" s="610"/>
      <c r="P38" s="662"/>
      <c r="Q38" s="610"/>
      <c r="R38" s="662"/>
      <c r="S38" s="610"/>
      <c r="T38" s="662"/>
      <c r="U38" s="610"/>
      <c r="V38" s="662"/>
      <c r="W38" s="610"/>
      <c r="X38" s="662"/>
      <c r="Y38" s="610"/>
      <c r="Z38" s="662"/>
      <c r="AA38" s="610"/>
      <c r="AB38" s="662"/>
      <c r="AC38" s="610"/>
      <c r="AD38" s="662"/>
      <c r="AE38" s="610"/>
      <c r="AF38" s="662"/>
      <c r="AG38" s="610"/>
      <c r="AH38" s="662"/>
      <c r="AI38" s="610"/>
      <c r="AJ38" s="662"/>
      <c r="AK38" s="610"/>
      <c r="AL38" s="662"/>
      <c r="AM38" s="610"/>
      <c r="AN38" s="662"/>
      <c r="AO38" s="610"/>
      <c r="AP38" s="662"/>
      <c r="AQ38" s="610"/>
      <c r="AR38" s="662"/>
      <c r="AS38" s="610"/>
      <c r="AT38" s="662"/>
      <c r="AU38" s="610"/>
      <c r="AV38" s="662"/>
    </row>
    <row r="39" spans="1:48">
      <c r="A39" s="114" t="s">
        <v>67</v>
      </c>
      <c r="B39" s="115" t="s">
        <v>74</v>
      </c>
      <c r="C39" s="663"/>
      <c r="D39" s="663"/>
      <c r="E39" s="663">
        <v>300</v>
      </c>
      <c r="F39" s="669"/>
      <c r="G39" s="663">
        <v>300</v>
      </c>
      <c r="H39" s="669"/>
      <c r="I39" s="663">
        <v>300</v>
      </c>
      <c r="J39" s="669"/>
      <c r="K39" s="663">
        <v>300</v>
      </c>
      <c r="L39" s="669"/>
      <c r="M39" s="663">
        <v>300</v>
      </c>
      <c r="N39" s="669"/>
      <c r="O39" s="511">
        <v>300</v>
      </c>
      <c r="P39" s="536">
        <v>0</v>
      </c>
      <c r="Q39" s="511">
        <v>300</v>
      </c>
      <c r="R39" s="536">
        <v>0</v>
      </c>
      <c r="S39" s="511">
        <v>300</v>
      </c>
      <c r="T39" s="536">
        <v>0</v>
      </c>
      <c r="U39" s="511">
        <v>300</v>
      </c>
      <c r="V39" s="536">
        <v>0</v>
      </c>
      <c r="W39" s="511">
        <v>300</v>
      </c>
      <c r="X39" s="536">
        <v>0</v>
      </c>
      <c r="Y39" s="511">
        <v>300</v>
      </c>
      <c r="Z39" s="536">
        <v>0</v>
      </c>
      <c r="AA39" s="511">
        <v>300</v>
      </c>
      <c r="AB39" s="536">
        <v>0</v>
      </c>
      <c r="AC39" s="511">
        <v>300</v>
      </c>
      <c r="AD39" s="536">
        <v>0</v>
      </c>
      <c r="AE39" s="511">
        <v>300</v>
      </c>
      <c r="AF39" s="536">
        <v>0</v>
      </c>
      <c r="AG39" s="511">
        <v>300</v>
      </c>
      <c r="AH39" s="536">
        <v>0</v>
      </c>
      <c r="AI39" s="511">
        <v>300</v>
      </c>
      <c r="AJ39" s="536">
        <v>0</v>
      </c>
      <c r="AK39" s="511">
        <v>300</v>
      </c>
      <c r="AL39" s="536">
        <v>0</v>
      </c>
      <c r="AM39" s="511">
        <v>300</v>
      </c>
      <c r="AN39" s="536">
        <v>0</v>
      </c>
      <c r="AO39" s="511">
        <v>300</v>
      </c>
      <c r="AP39" s="536">
        <v>0</v>
      </c>
      <c r="AQ39" s="511">
        <v>300</v>
      </c>
      <c r="AR39" s="536">
        <v>0</v>
      </c>
      <c r="AS39" s="511">
        <v>300</v>
      </c>
      <c r="AT39" s="536">
        <v>0</v>
      </c>
      <c r="AU39" s="820"/>
      <c r="AV39" s="820"/>
    </row>
    <row r="40" spans="1:48" ht="48" thickBot="1">
      <c r="A40" s="122" t="s">
        <v>58</v>
      </c>
      <c r="B40" s="123" t="s">
        <v>75</v>
      </c>
      <c r="C40" s="473">
        <v>129149.42</v>
      </c>
      <c r="D40" s="473">
        <v>0.12</v>
      </c>
      <c r="E40" s="511">
        <v>129713.7</v>
      </c>
      <c r="F40" s="536">
        <v>0.12</v>
      </c>
      <c r="G40" s="473">
        <v>130277.99</v>
      </c>
      <c r="H40" s="536">
        <v>0.13</v>
      </c>
      <c r="I40" s="473">
        <v>130842.28</v>
      </c>
      <c r="J40" s="536">
        <v>0.13</v>
      </c>
      <c r="K40" s="473">
        <v>132535.14000000001</v>
      </c>
      <c r="L40" s="536">
        <v>0.13</v>
      </c>
      <c r="M40" s="473">
        <v>133099.43</v>
      </c>
      <c r="N40" s="536">
        <v>0.13</v>
      </c>
      <c r="O40" s="511">
        <v>133663.72</v>
      </c>
      <c r="P40" s="536">
        <v>0.13</v>
      </c>
      <c r="Q40" s="473">
        <v>134228.01</v>
      </c>
      <c r="R40" s="536">
        <v>0.13</v>
      </c>
      <c r="S40" s="473">
        <v>134792.29</v>
      </c>
      <c r="T40" s="536">
        <v>0.13</v>
      </c>
      <c r="U40" s="473">
        <v>136485.16</v>
      </c>
      <c r="V40" s="536">
        <v>0.13</v>
      </c>
      <c r="W40" s="473">
        <v>137049.44</v>
      </c>
      <c r="X40" s="536">
        <v>0.13</v>
      </c>
      <c r="Y40" s="473">
        <v>137613.73000000001</v>
      </c>
      <c r="Z40" s="536">
        <v>0.13</v>
      </c>
      <c r="AA40" s="473">
        <v>138178.01999999999</v>
      </c>
      <c r="AB40" s="536">
        <v>0.13</v>
      </c>
      <c r="AC40" s="473">
        <v>138742.31</v>
      </c>
      <c r="AD40" s="536">
        <v>0.13</v>
      </c>
      <c r="AE40" s="473">
        <v>140435.17000000001</v>
      </c>
      <c r="AF40" s="536">
        <v>0.13</v>
      </c>
      <c r="AG40" s="473">
        <v>140999.46</v>
      </c>
      <c r="AH40" s="536">
        <v>0.14000000000000001</v>
      </c>
      <c r="AI40" s="473">
        <v>141563.74</v>
      </c>
      <c r="AJ40" s="536">
        <v>0.14000000000000001</v>
      </c>
      <c r="AK40" s="473">
        <v>142128.03</v>
      </c>
      <c r="AL40" s="536">
        <v>0.14000000000000001</v>
      </c>
      <c r="AM40" s="473">
        <v>142692.32</v>
      </c>
      <c r="AN40" s="536">
        <v>0.14000000000000001</v>
      </c>
      <c r="AO40" s="473">
        <v>144385.18</v>
      </c>
      <c r="AP40" s="536">
        <v>0.14000000000000001</v>
      </c>
      <c r="AQ40" s="473">
        <v>144949.47</v>
      </c>
      <c r="AR40" s="536">
        <v>0.14000000000000001</v>
      </c>
      <c r="AS40" s="511">
        <v>145513.76</v>
      </c>
      <c r="AT40" s="536">
        <v>0.14000000000000001</v>
      </c>
      <c r="AU40" s="473">
        <v>146078.04999999999</v>
      </c>
      <c r="AV40" s="536">
        <v>0.14000000000000001</v>
      </c>
    </row>
    <row r="41" spans="1:48" ht="32.25" thickBot="1">
      <c r="A41" s="122" t="s">
        <v>58</v>
      </c>
      <c r="B41" s="123" t="s">
        <v>131</v>
      </c>
      <c r="C41" s="663"/>
      <c r="D41" s="663"/>
      <c r="E41" s="669"/>
      <c r="F41" s="669"/>
      <c r="G41" s="669"/>
      <c r="H41" s="669"/>
      <c r="I41" s="669"/>
      <c r="J41" s="669"/>
      <c r="K41" s="669"/>
      <c r="L41" s="669"/>
      <c r="M41" s="669"/>
      <c r="N41" s="669"/>
      <c r="O41" s="820"/>
      <c r="P41" s="820"/>
      <c r="Q41" s="820"/>
      <c r="R41" s="820"/>
      <c r="S41" s="820"/>
      <c r="T41" s="820"/>
      <c r="U41" s="820"/>
      <c r="V41" s="820"/>
      <c r="W41" s="820"/>
      <c r="X41" s="820"/>
      <c r="Y41" s="820"/>
      <c r="Z41" s="820"/>
      <c r="AA41" s="820"/>
      <c r="AB41" s="820"/>
      <c r="AC41" s="820"/>
      <c r="AD41" s="820"/>
      <c r="AE41" s="820"/>
      <c r="AF41" s="820"/>
      <c r="AG41" s="820"/>
      <c r="AH41" s="820"/>
      <c r="AI41" s="820"/>
      <c r="AJ41" s="820"/>
      <c r="AK41" s="820"/>
      <c r="AL41" s="820"/>
      <c r="AM41" s="820"/>
      <c r="AN41" s="820"/>
      <c r="AO41" s="820"/>
      <c r="AP41" s="820"/>
      <c r="AQ41" s="820"/>
      <c r="AR41" s="820"/>
      <c r="AS41" s="820"/>
      <c r="AT41" s="820"/>
      <c r="AU41" s="820"/>
      <c r="AV41" s="820"/>
    </row>
    <row r="42" spans="1:48" ht="16.5" thickBot="1">
      <c r="A42" s="122" t="s">
        <v>101</v>
      </c>
      <c r="B42" s="123" t="s">
        <v>57</v>
      </c>
      <c r="C42" s="539">
        <v>1250671.53</v>
      </c>
      <c r="D42" s="667">
        <v>1.2</v>
      </c>
      <c r="E42" s="515">
        <v>1246927.01</v>
      </c>
      <c r="F42" s="667">
        <v>1.19</v>
      </c>
      <c r="G42" s="539">
        <v>1243182.48</v>
      </c>
      <c r="H42" s="667">
        <v>1.2</v>
      </c>
      <c r="I42" s="539">
        <v>1239437.96</v>
      </c>
      <c r="J42" s="667">
        <v>1.19</v>
      </c>
      <c r="K42" s="539">
        <v>1228204.3799999999</v>
      </c>
      <c r="L42" s="667">
        <v>1.18</v>
      </c>
      <c r="M42" s="539">
        <v>1224459.8500000001</v>
      </c>
      <c r="N42" s="667">
        <v>1.17</v>
      </c>
      <c r="O42" s="515">
        <v>1220715.33</v>
      </c>
      <c r="P42" s="821">
        <v>1.17</v>
      </c>
      <c r="Q42" s="539">
        <v>1216970.8</v>
      </c>
      <c r="R42" s="821">
        <v>1.17</v>
      </c>
      <c r="S42" s="539">
        <v>1213226.28</v>
      </c>
      <c r="T42" s="821">
        <v>1.1599999999999999</v>
      </c>
      <c r="U42" s="539">
        <v>1201992.7</v>
      </c>
      <c r="V42" s="821">
        <v>1.1499999999999999</v>
      </c>
      <c r="W42" s="539">
        <v>1198248.18</v>
      </c>
      <c r="X42" s="821">
        <v>1.1499999999999999</v>
      </c>
      <c r="Y42" s="539">
        <v>1194503.6499999999</v>
      </c>
      <c r="Z42" s="821">
        <v>1.1499999999999999</v>
      </c>
      <c r="AA42" s="539">
        <v>1190759.1200000001</v>
      </c>
      <c r="AB42" s="821">
        <v>1.1399999999999999</v>
      </c>
      <c r="AC42" s="539">
        <v>1187014.6000000001</v>
      </c>
      <c r="AD42" s="821">
        <v>1.1399999999999999</v>
      </c>
      <c r="AE42" s="539">
        <v>1175781.02</v>
      </c>
      <c r="AF42" s="821">
        <v>1.1399999999999999</v>
      </c>
      <c r="AG42" s="539">
        <v>1172036.5</v>
      </c>
      <c r="AH42" s="821">
        <v>1.1200000000000001</v>
      </c>
      <c r="AI42" s="539">
        <v>1168291.97</v>
      </c>
      <c r="AJ42" s="821">
        <v>1.1299999999999999</v>
      </c>
      <c r="AK42" s="539">
        <v>1164547.45</v>
      </c>
      <c r="AL42" s="821">
        <v>1.1299999999999999</v>
      </c>
      <c r="AM42" s="833">
        <v>1160802.92</v>
      </c>
      <c r="AN42" s="821">
        <v>1.1100000000000001</v>
      </c>
      <c r="AO42" s="833">
        <v>1149569.3400000001</v>
      </c>
      <c r="AP42" s="821">
        <v>1.1000000000000001</v>
      </c>
      <c r="AQ42" s="833">
        <v>1145824.82</v>
      </c>
      <c r="AR42" s="821">
        <v>1.1000000000000001</v>
      </c>
      <c r="AS42" s="881">
        <v>1142080.29</v>
      </c>
      <c r="AT42" s="821">
        <v>1.1000000000000001</v>
      </c>
      <c r="AU42" s="833">
        <v>1138335.77</v>
      </c>
      <c r="AV42" s="821">
        <v>1.0900000000000001</v>
      </c>
    </row>
    <row r="43" spans="1:48" ht="16.5" thickBot="1">
      <c r="A43" s="122" t="s">
        <v>29</v>
      </c>
      <c r="B43" s="123" t="s">
        <v>57</v>
      </c>
      <c r="C43" s="614"/>
      <c r="D43" s="669"/>
      <c r="E43" s="614"/>
      <c r="F43" s="669"/>
      <c r="G43" s="614"/>
      <c r="H43" s="669"/>
      <c r="I43" s="614"/>
      <c r="J43" s="669"/>
      <c r="K43" s="614"/>
      <c r="L43" s="669"/>
      <c r="M43" s="614"/>
      <c r="N43" s="669"/>
      <c r="O43" s="822"/>
      <c r="P43" s="820"/>
      <c r="Q43" s="822"/>
      <c r="R43" s="820"/>
      <c r="S43" s="822"/>
      <c r="T43" s="820"/>
      <c r="U43" s="822"/>
      <c r="V43" s="820"/>
      <c r="W43" s="822"/>
      <c r="X43" s="820"/>
      <c r="Y43" s="822"/>
      <c r="Z43" s="820"/>
      <c r="AA43" s="822"/>
      <c r="AB43" s="820"/>
      <c r="AC43" s="822"/>
      <c r="AD43" s="820"/>
      <c r="AE43" s="822"/>
      <c r="AF43" s="820"/>
      <c r="AG43" s="822"/>
      <c r="AH43" s="820"/>
      <c r="AI43" s="822"/>
      <c r="AJ43" s="820"/>
      <c r="AK43" s="822"/>
      <c r="AL43" s="820"/>
      <c r="AM43" s="822"/>
      <c r="AN43" s="820"/>
      <c r="AO43" s="822"/>
      <c r="AP43" s="820"/>
      <c r="AQ43" s="822"/>
      <c r="AR43" s="820"/>
      <c r="AS43" s="968"/>
      <c r="AT43" s="820"/>
      <c r="AU43" s="822"/>
      <c r="AV43" s="820"/>
    </row>
    <row r="44" spans="1:48">
      <c r="A44" s="122" t="s">
        <v>37</v>
      </c>
      <c r="B44" s="123" t="s">
        <v>57</v>
      </c>
      <c r="C44" s="614"/>
      <c r="D44" s="669"/>
      <c r="E44" s="614"/>
      <c r="F44" s="669"/>
      <c r="G44" s="614"/>
      <c r="H44" s="669"/>
      <c r="I44" s="614"/>
      <c r="J44" s="669"/>
      <c r="K44" s="614"/>
      <c r="L44" s="669"/>
      <c r="M44" s="614"/>
      <c r="N44" s="669"/>
      <c r="O44" s="822"/>
      <c r="P44" s="820"/>
      <c r="Q44" s="822"/>
      <c r="R44" s="820"/>
      <c r="S44" s="822"/>
      <c r="T44" s="820"/>
      <c r="U44" s="822"/>
      <c r="V44" s="820"/>
      <c r="W44" s="822"/>
      <c r="X44" s="820"/>
      <c r="Y44" s="822"/>
      <c r="Z44" s="820"/>
      <c r="AA44" s="822"/>
      <c r="AB44" s="820"/>
      <c r="AC44" s="822"/>
      <c r="AD44" s="820"/>
      <c r="AE44" s="822"/>
      <c r="AF44" s="820"/>
      <c r="AG44" s="822"/>
      <c r="AH44" s="820"/>
      <c r="AI44" s="822"/>
      <c r="AJ44" s="820"/>
      <c r="AK44" s="822"/>
      <c r="AL44" s="820"/>
      <c r="AM44" s="822"/>
      <c r="AN44" s="820"/>
      <c r="AO44" s="822"/>
      <c r="AP44" s="820"/>
      <c r="AQ44" s="822"/>
      <c r="AR44" s="820"/>
      <c r="AS44" s="968"/>
      <c r="AT44" s="820"/>
      <c r="AU44" s="822"/>
      <c r="AV44" s="820"/>
    </row>
    <row r="45" spans="1:48">
      <c r="A45" s="122" t="s">
        <v>68</v>
      </c>
      <c r="B45" s="123" t="s">
        <v>57</v>
      </c>
      <c r="C45" s="539">
        <v>1044683.6100000001</v>
      </c>
      <c r="D45" s="492">
        <v>1</v>
      </c>
      <c r="E45" s="515">
        <v>1042973.6799999999</v>
      </c>
      <c r="F45" s="812">
        <v>1.01</v>
      </c>
      <c r="G45" s="515">
        <v>1041263.76</v>
      </c>
      <c r="H45" s="812">
        <v>1.01</v>
      </c>
      <c r="I45" s="515">
        <v>1039553.82</v>
      </c>
      <c r="J45" s="812">
        <v>1</v>
      </c>
      <c r="K45" s="515">
        <v>1034424.0399999998</v>
      </c>
      <c r="L45" s="812">
        <v>0.98</v>
      </c>
      <c r="M45" s="515">
        <v>1032714.13</v>
      </c>
      <c r="N45" s="812">
        <v>0.98</v>
      </c>
      <c r="O45" s="515">
        <v>1031004.1999999998</v>
      </c>
      <c r="P45" s="812">
        <v>0.99</v>
      </c>
      <c r="Q45" s="515">
        <v>1029294.28</v>
      </c>
      <c r="R45" s="812">
        <v>0.98</v>
      </c>
      <c r="S45" s="515">
        <v>1027584.33</v>
      </c>
      <c r="T45" s="812">
        <v>0.98</v>
      </c>
      <c r="U45" s="515">
        <v>1022454.5599999999</v>
      </c>
      <c r="V45" s="812">
        <v>0.98</v>
      </c>
      <c r="W45" s="515">
        <v>1020744.64</v>
      </c>
      <c r="X45" s="812">
        <v>0.98</v>
      </c>
      <c r="Y45" s="515">
        <v>1019034.7000000001</v>
      </c>
      <c r="Z45" s="812">
        <v>0.98</v>
      </c>
      <c r="AA45" s="515">
        <v>1017324.79</v>
      </c>
      <c r="AB45" s="812">
        <v>0.99</v>
      </c>
      <c r="AC45" s="515">
        <v>1015614.8500000001</v>
      </c>
      <c r="AD45" s="812">
        <v>0.99</v>
      </c>
      <c r="AE45" s="515">
        <v>1010485.0900000002</v>
      </c>
      <c r="AF45" s="812">
        <v>0.99</v>
      </c>
      <c r="AG45" s="515">
        <v>1008775.1500000001</v>
      </c>
      <c r="AH45" s="812">
        <v>0.95999999999999985</v>
      </c>
      <c r="AI45" s="515">
        <v>1007065.2299999999</v>
      </c>
      <c r="AJ45" s="812">
        <v>0.95999999999999985</v>
      </c>
      <c r="AK45" s="515">
        <v>1005355.3099999999</v>
      </c>
      <c r="AL45" s="812">
        <v>0.95999999999999985</v>
      </c>
      <c r="AM45" s="515">
        <v>1003645.37</v>
      </c>
      <c r="AN45" s="812">
        <v>0.97</v>
      </c>
      <c r="AO45" s="515">
        <v>998515.59</v>
      </c>
      <c r="AP45" s="812">
        <v>0.96</v>
      </c>
      <c r="AQ45" s="515">
        <v>996805.66</v>
      </c>
      <c r="AR45" s="812">
        <v>0.96</v>
      </c>
      <c r="AS45" s="515">
        <v>995095.75</v>
      </c>
      <c r="AT45" s="812">
        <v>0.95</v>
      </c>
      <c r="AU45" s="515">
        <v>993385.83000000007</v>
      </c>
      <c r="AV45" s="812">
        <v>0.95</v>
      </c>
    </row>
    <row r="46" spans="1:48">
      <c r="A46" s="129" t="s">
        <v>69</v>
      </c>
      <c r="B46" s="123" t="s">
        <v>57</v>
      </c>
      <c r="C46" s="616"/>
      <c r="D46" s="673"/>
      <c r="E46" s="616"/>
      <c r="F46" s="673"/>
      <c r="G46" s="616"/>
      <c r="H46" s="673"/>
      <c r="I46" s="616"/>
      <c r="J46" s="673"/>
      <c r="K46" s="616"/>
      <c r="L46" s="673"/>
      <c r="M46" s="616"/>
      <c r="N46" s="673"/>
      <c r="O46" s="616"/>
      <c r="P46" s="823"/>
      <c r="Q46" s="616"/>
      <c r="R46" s="823"/>
      <c r="S46" s="616"/>
      <c r="T46" s="823"/>
      <c r="U46" s="616"/>
      <c r="V46" s="823"/>
      <c r="W46" s="616"/>
      <c r="X46" s="823"/>
      <c r="Y46" s="616"/>
      <c r="Z46" s="823"/>
      <c r="AA46" s="616"/>
      <c r="AB46" s="823"/>
      <c r="AC46" s="616"/>
      <c r="AD46" s="823"/>
      <c r="AE46" s="616"/>
      <c r="AF46" s="823"/>
      <c r="AG46" s="616"/>
      <c r="AH46" s="823"/>
      <c r="AI46" s="616"/>
      <c r="AJ46" s="823"/>
      <c r="AK46" s="616"/>
      <c r="AL46" s="823"/>
      <c r="AM46" s="616"/>
      <c r="AN46" s="823"/>
      <c r="AO46" s="616"/>
      <c r="AP46" s="823"/>
      <c r="AQ46" s="616"/>
      <c r="AR46" s="823"/>
      <c r="AS46" s="616"/>
      <c r="AT46" s="823"/>
      <c r="AU46" s="616"/>
      <c r="AV46" s="823"/>
    </row>
    <row r="47" spans="1:48" ht="48" thickBot="1">
      <c r="A47" s="122" t="s">
        <v>70</v>
      </c>
      <c r="B47" s="123" t="s">
        <v>76</v>
      </c>
      <c r="C47" s="775">
        <v>2009900</v>
      </c>
      <c r="D47" s="665">
        <v>1.92</v>
      </c>
      <c r="E47" s="775">
        <v>2009900</v>
      </c>
      <c r="F47" s="665">
        <v>1.93</v>
      </c>
      <c r="G47" s="775">
        <v>2009900</v>
      </c>
      <c r="H47" s="665">
        <v>1.93</v>
      </c>
      <c r="I47" s="775">
        <v>2009900</v>
      </c>
      <c r="J47" s="665">
        <v>1.93</v>
      </c>
      <c r="K47" s="775">
        <v>2009900</v>
      </c>
      <c r="L47" s="665">
        <v>1.93</v>
      </c>
      <c r="M47" s="775">
        <v>2009900</v>
      </c>
      <c r="N47" s="665">
        <v>1.93</v>
      </c>
      <c r="O47" s="584">
        <v>2009900</v>
      </c>
      <c r="P47" s="824">
        <v>1.93</v>
      </c>
      <c r="Q47" s="584">
        <v>2009900</v>
      </c>
      <c r="R47" s="824">
        <v>1.93</v>
      </c>
      <c r="S47" s="584">
        <v>2009900</v>
      </c>
      <c r="T47" s="824">
        <v>1.93</v>
      </c>
      <c r="U47" s="584">
        <v>2009900</v>
      </c>
      <c r="V47" s="824">
        <v>1.92</v>
      </c>
      <c r="W47" s="584">
        <v>2009900</v>
      </c>
      <c r="X47" s="824">
        <v>1.92</v>
      </c>
      <c r="Y47" s="584">
        <v>2009900</v>
      </c>
      <c r="Z47" s="824">
        <v>1.93</v>
      </c>
      <c r="AA47" s="574">
        <v>1910400</v>
      </c>
      <c r="AB47" s="824">
        <v>1.83</v>
      </c>
      <c r="AC47" s="574">
        <v>1910400</v>
      </c>
      <c r="AD47" s="824">
        <v>1.83</v>
      </c>
      <c r="AE47" s="574">
        <v>1910400</v>
      </c>
      <c r="AF47" s="824">
        <v>1.83</v>
      </c>
      <c r="AG47" s="574">
        <v>1910400</v>
      </c>
      <c r="AH47" s="824">
        <v>1.83</v>
      </c>
      <c r="AI47" s="574">
        <v>1910400</v>
      </c>
      <c r="AJ47" s="824">
        <v>1.83</v>
      </c>
      <c r="AK47" s="574">
        <v>1910400</v>
      </c>
      <c r="AL47" s="824">
        <v>1.83</v>
      </c>
      <c r="AM47" s="574">
        <v>1910400</v>
      </c>
      <c r="AN47" s="824">
        <v>1.83</v>
      </c>
      <c r="AO47" s="574">
        <v>1910400</v>
      </c>
      <c r="AP47" s="824">
        <v>1.83</v>
      </c>
      <c r="AQ47" s="574">
        <v>1910400</v>
      </c>
      <c r="AR47" s="824">
        <v>1.83</v>
      </c>
      <c r="AS47" s="584">
        <v>1910400</v>
      </c>
      <c r="AT47" s="824">
        <v>1.83</v>
      </c>
      <c r="AU47" s="574">
        <v>1910400</v>
      </c>
      <c r="AV47" s="824">
        <v>1.83</v>
      </c>
    </row>
    <row r="48" spans="1:48" ht="15">
      <c r="A48" s="696" t="s">
        <v>105</v>
      </c>
      <c r="B48" s="696" t="s">
        <v>105</v>
      </c>
      <c r="C48" s="621"/>
      <c r="D48" s="667"/>
      <c r="E48" s="813"/>
      <c r="F48" s="667"/>
      <c r="G48" s="813"/>
      <c r="H48" s="667"/>
      <c r="I48" s="813"/>
      <c r="J48" s="667"/>
      <c r="K48" s="813"/>
      <c r="L48" s="667"/>
      <c r="M48" s="813"/>
      <c r="N48" s="667"/>
      <c r="O48" s="813"/>
      <c r="P48" s="821"/>
      <c r="Q48" s="813"/>
      <c r="R48" s="821"/>
      <c r="S48" s="813"/>
      <c r="T48" s="821"/>
      <c r="U48" s="813"/>
      <c r="V48" s="821"/>
      <c r="W48" s="813"/>
      <c r="X48" s="821"/>
      <c r="Y48" s="813"/>
      <c r="Z48" s="821"/>
      <c r="AA48" s="813"/>
      <c r="AB48" s="821"/>
      <c r="AC48" s="813"/>
      <c r="AD48" s="821"/>
      <c r="AE48" s="813"/>
      <c r="AF48" s="821"/>
      <c r="AG48" s="813"/>
      <c r="AH48" s="821"/>
      <c r="AI48" s="813"/>
      <c r="AJ48" s="821"/>
      <c r="AK48" s="813"/>
      <c r="AL48" s="821"/>
      <c r="AM48" s="813"/>
      <c r="AN48" s="821"/>
      <c r="AO48" s="813"/>
      <c r="AP48" s="821"/>
      <c r="AQ48" s="813"/>
      <c r="AR48" s="821"/>
      <c r="AS48" s="813"/>
      <c r="AT48" s="821"/>
      <c r="AU48" s="813"/>
      <c r="AV48" s="821"/>
    </row>
    <row r="49" spans="1:48">
      <c r="A49" s="122" t="s">
        <v>49</v>
      </c>
      <c r="B49" s="123" t="s">
        <v>50</v>
      </c>
      <c r="C49" s="767">
        <v>5488.42</v>
      </c>
      <c r="D49" s="665">
        <v>0.01</v>
      </c>
      <c r="E49" s="814">
        <v>5706.61</v>
      </c>
      <c r="F49" s="665">
        <v>0.01</v>
      </c>
      <c r="G49" s="712">
        <v>16498.87</v>
      </c>
      <c r="H49" s="665">
        <v>0.02</v>
      </c>
      <c r="I49" s="712">
        <v>16498.87</v>
      </c>
      <c r="J49" s="665">
        <v>0.02</v>
      </c>
      <c r="K49" s="712">
        <v>16498.87</v>
      </c>
      <c r="L49" s="665">
        <v>0.02</v>
      </c>
      <c r="M49" s="479">
        <v>17185.669999999998</v>
      </c>
      <c r="N49" s="665">
        <v>0.02</v>
      </c>
      <c r="O49" s="767">
        <v>18314.64</v>
      </c>
      <c r="P49" s="824">
        <v>0.02</v>
      </c>
      <c r="Q49" s="767">
        <v>18314.64</v>
      </c>
      <c r="R49" s="824">
        <v>0.02</v>
      </c>
      <c r="S49" s="592">
        <v>16189.7</v>
      </c>
      <c r="T49" s="824">
        <v>0.02</v>
      </c>
      <c r="U49" s="592">
        <v>16189.7</v>
      </c>
      <c r="V49" s="824">
        <v>0.02</v>
      </c>
      <c r="W49" s="592">
        <v>16189.7</v>
      </c>
      <c r="X49" s="824">
        <v>0.02</v>
      </c>
      <c r="Y49" s="592">
        <v>15886.23</v>
      </c>
      <c r="Z49" s="824">
        <v>0.02</v>
      </c>
      <c r="AA49" s="592">
        <v>15886.23</v>
      </c>
      <c r="AB49" s="824">
        <v>0.02</v>
      </c>
      <c r="AC49" s="592">
        <v>15886.23</v>
      </c>
      <c r="AD49" s="824">
        <v>0.02</v>
      </c>
      <c r="AE49" s="592">
        <v>15886.23</v>
      </c>
      <c r="AF49" s="824">
        <v>0.02</v>
      </c>
      <c r="AG49" s="582">
        <v>25196.68</v>
      </c>
      <c r="AH49" s="824">
        <v>0.02</v>
      </c>
      <c r="AI49" s="582">
        <v>25196.68</v>
      </c>
      <c r="AJ49" s="824">
        <v>0.02</v>
      </c>
      <c r="AK49" s="582">
        <v>25196.68</v>
      </c>
      <c r="AL49" s="824">
        <v>0.02</v>
      </c>
      <c r="AM49" s="582">
        <v>25196.68</v>
      </c>
      <c r="AN49" s="824">
        <v>0.02</v>
      </c>
      <c r="AO49" s="582">
        <v>25196.68</v>
      </c>
      <c r="AP49" s="824">
        <v>0.02</v>
      </c>
      <c r="AQ49" s="582">
        <v>25196.68</v>
      </c>
      <c r="AR49" s="824">
        <v>0.02</v>
      </c>
      <c r="AS49" s="967">
        <v>25196.68</v>
      </c>
      <c r="AT49" s="824">
        <v>0.02</v>
      </c>
      <c r="AU49" s="493">
        <v>16237.51</v>
      </c>
      <c r="AV49" s="824">
        <v>0.02</v>
      </c>
    </row>
    <row r="50" spans="1:48" ht="48" thickBot="1">
      <c r="A50" s="122" t="s">
        <v>56</v>
      </c>
      <c r="B50" s="123" t="s">
        <v>77</v>
      </c>
      <c r="C50" s="673"/>
      <c r="D50" s="673"/>
      <c r="E50" s="673"/>
      <c r="F50" s="673"/>
      <c r="G50" s="673"/>
      <c r="H50" s="673"/>
      <c r="I50" s="673"/>
      <c r="J50" s="673"/>
      <c r="K50" s="673"/>
      <c r="L50" s="673"/>
      <c r="M50" s="673"/>
      <c r="N50" s="673"/>
      <c r="O50" s="766">
        <v>4011.29</v>
      </c>
      <c r="P50" s="823"/>
      <c r="Q50" s="766">
        <v>4011.29</v>
      </c>
      <c r="R50" s="823"/>
      <c r="S50" s="766">
        <v>4011.29</v>
      </c>
      <c r="T50" s="823"/>
      <c r="U50" s="766">
        <v>4011.29</v>
      </c>
      <c r="V50" s="823"/>
      <c r="W50" s="766">
        <v>4011.29</v>
      </c>
      <c r="X50" s="823"/>
      <c r="Y50" s="766">
        <v>4011.29</v>
      </c>
      <c r="Z50" s="823"/>
      <c r="AA50" s="766">
        <v>4011.29</v>
      </c>
      <c r="AB50" s="823"/>
      <c r="AC50" s="766">
        <v>4011.29</v>
      </c>
      <c r="AD50" s="823"/>
      <c r="AE50" s="766">
        <v>4011.29</v>
      </c>
      <c r="AF50" s="823"/>
      <c r="AG50" s="766">
        <v>4011.29</v>
      </c>
      <c r="AH50" s="823"/>
      <c r="AI50" s="766">
        <v>4011.29</v>
      </c>
      <c r="AJ50" s="823"/>
      <c r="AK50" s="766">
        <v>4011.29</v>
      </c>
      <c r="AL50" s="823"/>
      <c r="AM50" s="766">
        <v>4011.29</v>
      </c>
      <c r="AN50" s="823"/>
      <c r="AO50" s="766">
        <v>4011.29</v>
      </c>
      <c r="AP50" s="823"/>
      <c r="AQ50" s="766">
        <v>4011.29</v>
      </c>
      <c r="AR50" s="823"/>
      <c r="AS50" s="766">
        <v>4011.29</v>
      </c>
      <c r="AT50" s="823"/>
      <c r="AU50" s="823"/>
      <c r="AV50" s="823"/>
    </row>
    <row r="51" spans="1:48" ht="78.75">
      <c r="A51" s="132" t="s">
        <v>72</v>
      </c>
      <c r="B51" s="123" t="s">
        <v>78</v>
      </c>
      <c r="C51" s="767">
        <v>2265.48</v>
      </c>
      <c r="D51" s="667">
        <v>0</v>
      </c>
      <c r="E51" s="767">
        <v>3574.6</v>
      </c>
      <c r="F51" s="667">
        <v>0</v>
      </c>
      <c r="G51" s="767">
        <v>3574.6</v>
      </c>
      <c r="H51" s="667">
        <v>0</v>
      </c>
      <c r="I51" s="767">
        <v>3574.6</v>
      </c>
      <c r="J51" s="667">
        <v>0</v>
      </c>
      <c r="K51" s="767">
        <v>3574.6</v>
      </c>
      <c r="L51" s="667">
        <v>0</v>
      </c>
      <c r="M51" s="767">
        <v>3574.6</v>
      </c>
      <c r="N51" s="667">
        <v>0</v>
      </c>
      <c r="O51" s="767">
        <v>3574.6</v>
      </c>
      <c r="P51" s="821">
        <v>0</v>
      </c>
      <c r="Q51" s="767">
        <v>3574.6</v>
      </c>
      <c r="R51" s="821">
        <v>0</v>
      </c>
      <c r="S51" s="767">
        <v>3574.6</v>
      </c>
      <c r="T51" s="821">
        <v>0</v>
      </c>
      <c r="U51" s="767">
        <v>3574.6</v>
      </c>
      <c r="V51" s="821">
        <v>0</v>
      </c>
      <c r="W51" s="767">
        <v>3574.6</v>
      </c>
      <c r="X51" s="821">
        <v>0</v>
      </c>
      <c r="Y51" s="767">
        <v>3574.6</v>
      </c>
      <c r="Z51" s="821">
        <v>0</v>
      </c>
      <c r="AA51" s="767">
        <v>3574.6</v>
      </c>
      <c r="AB51" s="821">
        <v>0</v>
      </c>
      <c r="AC51" s="767">
        <v>3574.6</v>
      </c>
      <c r="AD51" s="821">
        <v>0</v>
      </c>
      <c r="AE51" s="767">
        <v>3574.6</v>
      </c>
      <c r="AF51" s="821">
        <v>0</v>
      </c>
      <c r="AG51" s="767">
        <v>3574.6</v>
      </c>
      <c r="AH51" s="821">
        <v>0</v>
      </c>
      <c r="AI51" s="767">
        <v>3574.6</v>
      </c>
      <c r="AJ51" s="821">
        <v>0</v>
      </c>
      <c r="AK51" s="767">
        <v>3574.6</v>
      </c>
      <c r="AL51" s="821">
        <v>0</v>
      </c>
      <c r="AM51" s="767">
        <v>3574.6</v>
      </c>
      <c r="AN51" s="821">
        <v>0</v>
      </c>
      <c r="AO51" s="767">
        <v>3574.6</v>
      </c>
      <c r="AP51" s="821">
        <v>0</v>
      </c>
      <c r="AQ51" s="767">
        <v>3574.6</v>
      </c>
      <c r="AR51" s="821">
        <v>0</v>
      </c>
      <c r="AS51" s="767">
        <v>3574.6</v>
      </c>
      <c r="AT51" s="821">
        <v>0</v>
      </c>
      <c r="AU51" s="479">
        <v>822.22</v>
      </c>
      <c r="AV51" s="821">
        <v>0</v>
      </c>
    </row>
    <row r="52" spans="1:48" ht="32.25" thickBot="1">
      <c r="A52" s="132" t="s">
        <v>51</v>
      </c>
      <c r="B52" s="123" t="s">
        <v>52</v>
      </c>
      <c r="C52" s="753">
        <v>20102.879999999997</v>
      </c>
      <c r="D52" s="699">
        <v>0.02</v>
      </c>
      <c r="E52" s="815">
        <v>20102.879999999997</v>
      </c>
      <c r="F52" s="816">
        <v>0.02</v>
      </c>
      <c r="G52" s="815">
        <v>20102.879999999997</v>
      </c>
      <c r="H52" s="816">
        <v>0.02</v>
      </c>
      <c r="I52" s="815">
        <v>20102.879999999997</v>
      </c>
      <c r="J52" s="816">
        <v>0.02</v>
      </c>
      <c r="K52" s="815">
        <v>20102.879999999997</v>
      </c>
      <c r="L52" s="816">
        <v>0.02</v>
      </c>
      <c r="M52" s="815">
        <v>20102.879999999997</v>
      </c>
      <c r="N52" s="816">
        <v>0.02</v>
      </c>
      <c r="O52" s="825">
        <v>20102.879999999997</v>
      </c>
      <c r="P52" s="829">
        <v>0.02</v>
      </c>
      <c r="Q52" s="825">
        <v>20102.879999999997</v>
      </c>
      <c r="R52" s="829">
        <v>0.02</v>
      </c>
      <c r="S52" s="825">
        <v>20102.879999999997</v>
      </c>
      <c r="T52" s="829">
        <v>0.02</v>
      </c>
      <c r="U52" s="825">
        <v>20102.879999999997</v>
      </c>
      <c r="V52" s="829">
        <v>0.02</v>
      </c>
      <c r="W52" s="825">
        <v>20102.879999999997</v>
      </c>
      <c r="X52" s="829">
        <v>0.02</v>
      </c>
      <c r="Y52" s="825"/>
      <c r="Z52" s="829"/>
      <c r="AA52" s="825"/>
      <c r="AB52" s="829"/>
      <c r="AC52" s="825"/>
      <c r="AD52" s="829"/>
      <c r="AE52" s="825"/>
      <c r="AF52" s="829"/>
      <c r="AG52" s="825"/>
      <c r="AH52" s="829"/>
      <c r="AI52" s="825"/>
      <c r="AJ52" s="829"/>
      <c r="AK52" s="825"/>
      <c r="AL52" s="829"/>
      <c r="AM52" s="825"/>
      <c r="AN52" s="829"/>
      <c r="AO52" s="825"/>
      <c r="AP52" s="829"/>
      <c r="AQ52" s="825"/>
      <c r="AR52" s="829"/>
      <c r="AS52" s="825"/>
      <c r="AT52" s="829"/>
      <c r="AU52" s="839">
        <v>23890.959999999999</v>
      </c>
      <c r="AV52" s="840">
        <v>0.02</v>
      </c>
    </row>
    <row r="53" spans="1:48" ht="15">
      <c r="A53" s="1049" t="s">
        <v>127</v>
      </c>
      <c r="B53" s="1050"/>
      <c r="C53" s="751">
        <v>48565.979999999996</v>
      </c>
      <c r="D53" s="667">
        <v>0.05</v>
      </c>
      <c r="E53" s="768">
        <v>48565.979999999996</v>
      </c>
      <c r="F53" s="817">
        <v>0.05</v>
      </c>
      <c r="G53" s="768">
        <v>48565.979999999996</v>
      </c>
      <c r="H53" s="817">
        <v>0.05</v>
      </c>
      <c r="I53" s="768">
        <v>48565.979999999996</v>
      </c>
      <c r="J53" s="817">
        <v>0.05</v>
      </c>
      <c r="K53" s="768">
        <v>48565.979999999996</v>
      </c>
      <c r="L53" s="817">
        <v>0.05</v>
      </c>
      <c r="M53" s="768">
        <v>24924.720000000001</v>
      </c>
      <c r="N53" s="817">
        <v>0.02</v>
      </c>
      <c r="O53" s="826">
        <v>24924.720000000001</v>
      </c>
      <c r="P53" s="821">
        <v>0.02</v>
      </c>
      <c r="Q53" s="826">
        <v>24924.720000000001</v>
      </c>
      <c r="R53" s="821">
        <v>0.02</v>
      </c>
      <c r="S53" s="826">
        <v>24924.720000000001</v>
      </c>
      <c r="T53" s="821">
        <v>0.02</v>
      </c>
      <c r="U53" s="826">
        <v>24924.720000000001</v>
      </c>
      <c r="V53" s="821">
        <v>0.02</v>
      </c>
      <c r="W53" s="826">
        <v>24924.720000000001</v>
      </c>
      <c r="X53" s="821">
        <v>0.02</v>
      </c>
      <c r="Y53" s="826">
        <v>24924.720000000001</v>
      </c>
      <c r="Z53" s="821">
        <v>0.02</v>
      </c>
      <c r="AA53" s="826">
        <v>24924.720000000001</v>
      </c>
      <c r="AB53" s="821">
        <v>0.02</v>
      </c>
      <c r="AC53" s="826">
        <v>24924.720000000001</v>
      </c>
      <c r="AD53" s="821">
        <v>0.02</v>
      </c>
      <c r="AE53" s="826">
        <v>24924.720000000001</v>
      </c>
      <c r="AF53" s="821">
        <v>0.02</v>
      </c>
      <c r="AG53" s="826">
        <v>24924.720000000001</v>
      </c>
      <c r="AH53" s="821">
        <v>0.02</v>
      </c>
      <c r="AI53" s="826">
        <v>24924.720000000001</v>
      </c>
      <c r="AJ53" s="821">
        <v>0.02</v>
      </c>
      <c r="AK53" s="826">
        <v>24924.720000000001</v>
      </c>
      <c r="AL53" s="821">
        <v>0.02</v>
      </c>
      <c r="AM53" s="826">
        <v>24924.720000000001</v>
      </c>
      <c r="AN53" s="821">
        <v>0.02</v>
      </c>
      <c r="AO53" s="826">
        <v>24924.720000000001</v>
      </c>
      <c r="AP53" s="821">
        <v>0.02</v>
      </c>
      <c r="AQ53" s="826">
        <v>24924.720000000001</v>
      </c>
      <c r="AR53" s="821">
        <v>0.02</v>
      </c>
      <c r="AS53" s="825"/>
      <c r="AT53" s="829"/>
      <c r="AU53" s="838">
        <v>84749.36</v>
      </c>
      <c r="AV53" s="840">
        <v>0.08</v>
      </c>
    </row>
    <row r="54" spans="1:48" ht="31.5">
      <c r="A54" s="133" t="s">
        <v>73</v>
      </c>
      <c r="B54" s="134" t="s">
        <v>53</v>
      </c>
      <c r="C54" s="753">
        <v>46203.13</v>
      </c>
      <c r="D54" s="699">
        <v>0.05</v>
      </c>
      <c r="E54" s="815">
        <v>46203.13</v>
      </c>
      <c r="F54" s="816">
        <v>0.05</v>
      </c>
      <c r="G54" s="815">
        <v>46203.13</v>
      </c>
      <c r="H54" s="816">
        <v>0.05</v>
      </c>
      <c r="I54" s="815">
        <v>46203.13</v>
      </c>
      <c r="J54" s="816">
        <v>0.05</v>
      </c>
      <c r="K54" s="815">
        <v>46203.13</v>
      </c>
      <c r="L54" s="816">
        <v>0.05</v>
      </c>
      <c r="M54" s="815">
        <v>46203.13</v>
      </c>
      <c r="N54" s="816">
        <v>0.05</v>
      </c>
      <c r="O54" s="825">
        <v>46203.13</v>
      </c>
      <c r="P54" s="829">
        <v>0.05</v>
      </c>
      <c r="Q54" s="825">
        <v>46203.13</v>
      </c>
      <c r="R54" s="829">
        <v>0.05</v>
      </c>
      <c r="S54" s="825">
        <v>46203.13</v>
      </c>
      <c r="T54" s="829">
        <v>0.05</v>
      </c>
      <c r="U54" s="825">
        <v>46203.13</v>
      </c>
      <c r="V54" s="829">
        <v>0.05</v>
      </c>
      <c r="W54" s="825">
        <v>46203.13</v>
      </c>
      <c r="X54" s="829">
        <v>0.05</v>
      </c>
      <c r="Y54" s="825">
        <v>46203.13</v>
      </c>
      <c r="Z54" s="829">
        <v>0.05</v>
      </c>
      <c r="AA54" s="825">
        <v>46203.13</v>
      </c>
      <c r="AB54" s="829">
        <v>0.05</v>
      </c>
      <c r="AC54" s="825">
        <v>46203.13</v>
      </c>
      <c r="AD54" s="829">
        <v>0.05</v>
      </c>
      <c r="AE54" s="825">
        <v>46203.13</v>
      </c>
      <c r="AF54" s="829">
        <v>0.05</v>
      </c>
      <c r="AG54" s="829"/>
      <c r="AH54" s="829"/>
      <c r="AI54" s="829"/>
      <c r="AJ54" s="829"/>
      <c r="AK54" s="829"/>
      <c r="AL54" s="829"/>
      <c r="AM54" s="829"/>
      <c r="AN54" s="829"/>
      <c r="AO54" s="829"/>
      <c r="AP54" s="829"/>
      <c r="AQ54" s="829"/>
      <c r="AR54" s="829"/>
      <c r="AS54" s="829"/>
      <c r="AT54" s="829"/>
      <c r="AU54" s="829"/>
      <c r="AV54" s="829"/>
    </row>
    <row r="55" spans="1:48" ht="31.5">
      <c r="A55" s="122" t="s">
        <v>54</v>
      </c>
      <c r="B55" s="123" t="s">
        <v>79</v>
      </c>
      <c r="C55" s="473">
        <v>2085.9899999999998</v>
      </c>
      <c r="D55" s="699"/>
      <c r="E55" s="511">
        <v>2085.9899999999998</v>
      </c>
      <c r="F55" s="816"/>
      <c r="G55" s="511">
        <v>2085.9899999999998</v>
      </c>
      <c r="H55" s="816"/>
      <c r="I55" s="511">
        <v>2085.9899999999998</v>
      </c>
      <c r="J55" s="816"/>
      <c r="K55" s="511">
        <v>2085.9899999999998</v>
      </c>
      <c r="L55" s="816"/>
      <c r="M55" s="511">
        <v>2085.9899999999998</v>
      </c>
      <c r="N55" s="816"/>
      <c r="O55" s="829"/>
      <c r="P55" s="829"/>
      <c r="Q55" s="829"/>
      <c r="R55" s="829"/>
      <c r="S55" s="829"/>
      <c r="T55" s="829"/>
      <c r="U55" s="829"/>
      <c r="V55" s="829"/>
      <c r="W55" s="829"/>
      <c r="X55" s="829"/>
      <c r="Y55" s="829"/>
      <c r="Z55" s="829"/>
      <c r="AA55" s="829"/>
      <c r="AB55" s="829"/>
      <c r="AC55" s="829"/>
      <c r="AD55" s="829"/>
      <c r="AE55" s="829"/>
      <c r="AF55" s="829"/>
      <c r="AG55" s="829"/>
      <c r="AH55" s="829"/>
      <c r="AI55" s="829"/>
      <c r="AJ55" s="829"/>
      <c r="AK55" s="829"/>
      <c r="AL55" s="829"/>
      <c r="AM55" s="829"/>
      <c r="AN55" s="829"/>
      <c r="AO55" s="829"/>
      <c r="AP55" s="829"/>
      <c r="AQ55" s="829"/>
      <c r="AR55" s="829"/>
      <c r="AS55" s="829"/>
      <c r="AT55" s="829"/>
      <c r="AU55" s="837">
        <v>2078.85</v>
      </c>
      <c r="AV55" s="473">
        <v>0</v>
      </c>
    </row>
    <row r="56" spans="1:48" ht="32.25" thickBot="1">
      <c r="A56" s="135" t="s">
        <v>55</v>
      </c>
      <c r="B56" s="223" t="s">
        <v>80</v>
      </c>
      <c r="C56" s="473">
        <v>860.78</v>
      </c>
      <c r="D56" s="699"/>
      <c r="E56" s="511">
        <v>860.78</v>
      </c>
      <c r="F56" s="816"/>
      <c r="G56" s="511">
        <v>860.78</v>
      </c>
      <c r="H56" s="816"/>
      <c r="I56" s="511">
        <v>860.78</v>
      </c>
      <c r="J56" s="816"/>
      <c r="K56" s="511">
        <v>860.78</v>
      </c>
      <c r="L56" s="816"/>
      <c r="M56" s="816"/>
      <c r="N56" s="816"/>
      <c r="O56" s="829"/>
      <c r="P56" s="829"/>
      <c r="Q56" s="829"/>
      <c r="R56" s="829"/>
      <c r="S56" s="829"/>
      <c r="T56" s="829"/>
      <c r="U56" s="829"/>
      <c r="V56" s="829"/>
      <c r="W56" s="829"/>
      <c r="X56" s="829"/>
      <c r="Y56" s="829"/>
      <c r="Z56" s="829"/>
      <c r="AA56" s="829"/>
      <c r="AB56" s="829"/>
      <c r="AC56" s="829"/>
      <c r="AD56" s="829"/>
      <c r="AE56" s="829"/>
      <c r="AF56" s="829"/>
      <c r="AG56" s="829"/>
      <c r="AH56" s="829"/>
      <c r="AI56" s="829"/>
      <c r="AJ56" s="829"/>
      <c r="AK56" s="829"/>
      <c r="AL56" s="829"/>
      <c r="AM56" s="829"/>
      <c r="AN56" s="829"/>
      <c r="AO56" s="829"/>
      <c r="AP56" s="829"/>
      <c r="AQ56" s="829"/>
      <c r="AR56" s="829"/>
      <c r="AS56" s="829"/>
      <c r="AT56" s="829"/>
      <c r="AU56" s="837">
        <v>860.78</v>
      </c>
      <c r="AV56" s="473">
        <v>0</v>
      </c>
    </row>
    <row r="57" spans="1:48" ht="16.5" thickBot="1">
      <c r="A57" s="221" t="s">
        <v>99</v>
      </c>
      <c r="B57" s="222"/>
      <c r="C57" s="620"/>
      <c r="D57" s="669"/>
      <c r="E57" s="620"/>
      <c r="F57" s="669"/>
      <c r="G57" s="620"/>
      <c r="H57" s="669"/>
      <c r="I57" s="620"/>
      <c r="J57" s="669"/>
      <c r="K57" s="620"/>
      <c r="L57" s="669"/>
      <c r="M57" s="620"/>
      <c r="N57" s="669"/>
      <c r="O57" s="827"/>
      <c r="P57" s="820"/>
      <c r="Q57" s="827"/>
      <c r="R57" s="820"/>
      <c r="S57" s="827"/>
      <c r="T57" s="820"/>
      <c r="U57" s="827"/>
      <c r="V57" s="820"/>
      <c r="W57" s="827"/>
      <c r="X57" s="820"/>
      <c r="Y57" s="827"/>
      <c r="Z57" s="820"/>
      <c r="AA57" s="827"/>
      <c r="AB57" s="820"/>
      <c r="AC57" s="827"/>
      <c r="AD57" s="820"/>
      <c r="AE57" s="827"/>
      <c r="AF57" s="820"/>
      <c r="AG57" s="827"/>
      <c r="AH57" s="820"/>
      <c r="AI57" s="827"/>
      <c r="AJ57" s="820"/>
      <c r="AK57" s="827"/>
      <c r="AL57" s="820"/>
      <c r="AM57" s="827"/>
      <c r="AN57" s="820"/>
      <c r="AO57" s="827"/>
      <c r="AP57" s="820"/>
      <c r="AQ57" s="827"/>
      <c r="AR57" s="820"/>
      <c r="AS57" s="827"/>
      <c r="AT57" s="820"/>
      <c r="AU57" s="827"/>
      <c r="AV57" s="820"/>
    </row>
    <row r="58" spans="1:48" ht="15">
      <c r="A58" s="1045" t="s">
        <v>103</v>
      </c>
      <c r="B58" s="1046" t="s">
        <v>103</v>
      </c>
      <c r="C58" s="473">
        <v>1144.93</v>
      </c>
      <c r="D58" s="736">
        <v>0</v>
      </c>
      <c r="E58" s="511">
        <v>2289.86</v>
      </c>
      <c r="F58" s="737">
        <v>0</v>
      </c>
      <c r="G58" s="473">
        <v>3434.79</v>
      </c>
      <c r="H58" s="737">
        <v>0</v>
      </c>
      <c r="I58" s="473">
        <v>4579.7299999999996</v>
      </c>
      <c r="J58" s="737">
        <v>0</v>
      </c>
      <c r="K58" s="473">
        <v>8014.52</v>
      </c>
      <c r="L58" s="737">
        <v>0.01</v>
      </c>
      <c r="M58" s="473">
        <v>9159.4500000000007</v>
      </c>
      <c r="N58" s="737">
        <v>0.01</v>
      </c>
      <c r="O58" s="511">
        <v>10304.379999999999</v>
      </c>
      <c r="P58" s="828">
        <v>0.01</v>
      </c>
      <c r="Q58" s="473">
        <v>11449.32</v>
      </c>
      <c r="R58" s="828">
        <v>0.01</v>
      </c>
      <c r="S58" s="473">
        <v>12594.25</v>
      </c>
      <c r="T58" s="828">
        <v>0.01</v>
      </c>
      <c r="U58" s="473">
        <v>16029.04</v>
      </c>
      <c r="V58" s="828">
        <v>0.02</v>
      </c>
      <c r="W58" s="473">
        <v>0</v>
      </c>
      <c r="X58" s="828">
        <v>0</v>
      </c>
      <c r="Y58" s="473">
        <v>1431.16</v>
      </c>
      <c r="Z58" s="828">
        <v>0</v>
      </c>
      <c r="AA58" s="473">
        <v>2862.33</v>
      </c>
      <c r="AB58" s="828">
        <v>0</v>
      </c>
      <c r="AC58" s="473">
        <v>4293.49</v>
      </c>
      <c r="AD58" s="828">
        <v>0</v>
      </c>
      <c r="AE58" s="473">
        <v>8586.99</v>
      </c>
      <c r="AF58" s="828">
        <v>0</v>
      </c>
      <c r="AG58" s="473">
        <v>10018.15</v>
      </c>
      <c r="AH58" s="828">
        <v>0.01</v>
      </c>
      <c r="AI58" s="473">
        <v>11449.32</v>
      </c>
      <c r="AJ58" s="828">
        <v>0.01</v>
      </c>
      <c r="AK58" s="473">
        <v>12880.48</v>
      </c>
      <c r="AL58" s="828">
        <v>0.01</v>
      </c>
      <c r="AM58" s="473">
        <v>14311.64</v>
      </c>
      <c r="AN58" s="828">
        <v>0.01</v>
      </c>
      <c r="AO58" s="473">
        <v>18605.14</v>
      </c>
      <c r="AP58" s="828">
        <v>0.02</v>
      </c>
      <c r="AQ58" s="473">
        <v>20036.3</v>
      </c>
      <c r="AR58" s="828">
        <v>0.02</v>
      </c>
      <c r="AS58" s="511">
        <v>21467.47</v>
      </c>
      <c r="AT58" s="828">
        <v>0.02</v>
      </c>
      <c r="AU58" s="473">
        <v>22898.63</v>
      </c>
      <c r="AV58" s="828">
        <v>0.02</v>
      </c>
    </row>
    <row r="59" spans="1:48" ht="15">
      <c r="A59" s="785"/>
      <c r="B59" s="786"/>
      <c r="C59" s="473">
        <v>858.7</v>
      </c>
      <c r="D59" s="736">
        <v>0</v>
      </c>
      <c r="E59" s="511">
        <v>1717.4</v>
      </c>
      <c r="F59" s="737">
        <v>0</v>
      </c>
      <c r="G59" s="473">
        <v>2576.1</v>
      </c>
      <c r="H59" s="737">
        <v>0</v>
      </c>
      <c r="I59" s="473">
        <v>3434.79</v>
      </c>
      <c r="J59" s="737">
        <v>0</v>
      </c>
      <c r="K59" s="473">
        <v>6010.89</v>
      </c>
      <c r="L59" s="737">
        <v>0.01</v>
      </c>
      <c r="M59" s="473">
        <v>6869.59</v>
      </c>
      <c r="N59" s="737">
        <v>0.01</v>
      </c>
      <c r="O59" s="511">
        <v>7728.29</v>
      </c>
      <c r="P59" s="828">
        <v>0.01</v>
      </c>
      <c r="Q59" s="473">
        <v>8586.99</v>
      </c>
      <c r="R59" s="828">
        <v>0.01</v>
      </c>
      <c r="S59" s="473">
        <v>9445.68</v>
      </c>
      <c r="T59" s="828">
        <v>0.01</v>
      </c>
      <c r="U59" s="473">
        <v>12021.78</v>
      </c>
      <c r="V59" s="828">
        <v>0.01</v>
      </c>
      <c r="W59" s="473">
        <v>12880.48</v>
      </c>
      <c r="X59" s="828">
        <v>0.01</v>
      </c>
      <c r="Y59" s="473">
        <v>13739.18</v>
      </c>
      <c r="Z59" s="828">
        <v>0.01</v>
      </c>
      <c r="AA59" s="473">
        <v>14597.88</v>
      </c>
      <c r="AB59" s="828">
        <v>0.01</v>
      </c>
      <c r="AC59" s="473">
        <v>15456.58</v>
      </c>
      <c r="AD59" s="828">
        <v>0.01</v>
      </c>
      <c r="AE59" s="473">
        <v>18032.669999999998</v>
      </c>
      <c r="AF59" s="828">
        <v>0.01</v>
      </c>
      <c r="AG59" s="473">
        <v>18891.37</v>
      </c>
      <c r="AH59" s="828">
        <v>0.02</v>
      </c>
      <c r="AI59" s="473">
        <v>19750.07</v>
      </c>
      <c r="AJ59" s="828">
        <v>0.02</v>
      </c>
      <c r="AK59" s="473">
        <v>20608.77</v>
      </c>
      <c r="AL59" s="828">
        <v>0.02</v>
      </c>
      <c r="AM59" s="473">
        <v>21467.47</v>
      </c>
      <c r="AN59" s="828">
        <v>0.02</v>
      </c>
      <c r="AO59" s="473">
        <v>24043.56</v>
      </c>
      <c r="AP59" s="828">
        <v>0.02</v>
      </c>
      <c r="AQ59" s="473">
        <v>24902.26</v>
      </c>
      <c r="AR59" s="828">
        <v>0.02</v>
      </c>
      <c r="AS59" s="473">
        <v>25760.959999999999</v>
      </c>
      <c r="AT59" s="828">
        <v>0.02</v>
      </c>
      <c r="AU59" s="473">
        <v>26619.66</v>
      </c>
      <c r="AV59" s="828">
        <v>0.02</v>
      </c>
    </row>
    <row r="60" spans="1:48" ht="15">
      <c r="A60" s="792" t="s">
        <v>39</v>
      </c>
      <c r="B60" s="795" t="s">
        <v>39</v>
      </c>
      <c r="C60" s="473">
        <v>105906.17</v>
      </c>
      <c r="D60" s="736">
        <v>0.1</v>
      </c>
      <c r="E60" s="511">
        <v>106642.19</v>
      </c>
      <c r="F60" s="737">
        <v>0.1</v>
      </c>
      <c r="G60" s="473">
        <v>107378.22</v>
      </c>
      <c r="H60" s="737">
        <v>0.1</v>
      </c>
      <c r="I60" s="473">
        <v>108114.25</v>
      </c>
      <c r="J60" s="737">
        <v>0.1</v>
      </c>
      <c r="K60" s="473">
        <v>110322.33</v>
      </c>
      <c r="L60" s="737">
        <v>0.1</v>
      </c>
      <c r="M60" s="473">
        <v>111058.36</v>
      </c>
      <c r="N60" s="737">
        <v>0.11</v>
      </c>
      <c r="O60" s="511">
        <v>111794.39</v>
      </c>
      <c r="P60" s="828">
        <v>0.11</v>
      </c>
      <c r="Q60" s="473">
        <v>112530.41</v>
      </c>
      <c r="R60" s="828">
        <v>0.11</v>
      </c>
      <c r="S60" s="473">
        <v>113266.44</v>
      </c>
      <c r="T60" s="828">
        <v>0.11</v>
      </c>
      <c r="U60" s="473">
        <v>115474.52</v>
      </c>
      <c r="V60" s="828">
        <v>0.11</v>
      </c>
      <c r="W60" s="473">
        <v>116210.55</v>
      </c>
      <c r="X60" s="828">
        <v>0.11</v>
      </c>
      <c r="Y60" s="473">
        <v>116946.58</v>
      </c>
      <c r="Z60" s="828">
        <v>0.11</v>
      </c>
      <c r="AA60" s="473">
        <v>117682.6</v>
      </c>
      <c r="AB60" s="828">
        <v>0.11</v>
      </c>
      <c r="AC60" s="473">
        <v>118418.63</v>
      </c>
      <c r="AD60" s="828">
        <v>0.11</v>
      </c>
      <c r="AE60" s="473">
        <v>120626.71</v>
      </c>
      <c r="AF60" s="828">
        <v>0.11</v>
      </c>
      <c r="AG60" s="473">
        <v>121362.74</v>
      </c>
      <c r="AH60" s="828">
        <v>0.12</v>
      </c>
      <c r="AI60" s="473">
        <v>122098.77</v>
      </c>
      <c r="AJ60" s="828">
        <v>0.12</v>
      </c>
      <c r="AK60" s="473">
        <v>122834.8</v>
      </c>
      <c r="AL60" s="828">
        <v>0.12</v>
      </c>
      <c r="AM60" s="473">
        <v>123570.82</v>
      </c>
      <c r="AN60" s="828">
        <v>0.12</v>
      </c>
      <c r="AO60" s="473">
        <v>125778.91</v>
      </c>
      <c r="AP60" s="828">
        <v>0.12</v>
      </c>
      <c r="AQ60" s="473">
        <v>126514.93</v>
      </c>
      <c r="AR60" s="828">
        <v>0.12</v>
      </c>
      <c r="AS60" s="511">
        <v>0</v>
      </c>
      <c r="AT60" s="828">
        <v>0</v>
      </c>
      <c r="AU60" s="473">
        <v>0</v>
      </c>
      <c r="AV60" s="828">
        <v>0</v>
      </c>
    </row>
    <row r="61" spans="1:48" ht="15" customHeight="1">
      <c r="A61" s="793" t="s">
        <v>95</v>
      </c>
      <c r="B61" s="794" t="s">
        <v>95</v>
      </c>
      <c r="C61" s="536">
        <v>1669.69</v>
      </c>
      <c r="D61" s="737">
        <v>0</v>
      </c>
      <c r="E61" s="511">
        <v>3339.38</v>
      </c>
      <c r="F61" s="737">
        <v>0</v>
      </c>
      <c r="G61" s="536">
        <v>5009.08</v>
      </c>
      <c r="H61" s="737">
        <v>0</v>
      </c>
      <c r="I61" s="536">
        <v>6678.77</v>
      </c>
      <c r="J61" s="737">
        <v>0.01</v>
      </c>
      <c r="K61" s="536">
        <v>11687.84</v>
      </c>
      <c r="L61" s="737">
        <v>0.01</v>
      </c>
      <c r="M61" s="536">
        <v>13357.53</v>
      </c>
      <c r="N61" s="737">
        <v>0.01</v>
      </c>
      <c r="O61" s="511">
        <v>15027.23</v>
      </c>
      <c r="P61" s="828">
        <v>0.01</v>
      </c>
      <c r="Q61" s="536">
        <v>16696.919999999998</v>
      </c>
      <c r="R61" s="828">
        <v>0.02</v>
      </c>
      <c r="S61" s="536">
        <v>18366.61</v>
      </c>
      <c r="T61" s="828">
        <v>0.02</v>
      </c>
      <c r="U61" s="536">
        <v>23375.68</v>
      </c>
      <c r="V61" s="828">
        <v>0.02</v>
      </c>
      <c r="W61" s="536">
        <v>25045.38</v>
      </c>
      <c r="X61" s="828">
        <v>0.02</v>
      </c>
      <c r="Y61" s="536">
        <v>26715.07</v>
      </c>
      <c r="Z61" s="828">
        <v>0.03</v>
      </c>
      <c r="AA61" s="536">
        <v>28384.76</v>
      </c>
      <c r="AB61" s="828">
        <v>0.03</v>
      </c>
      <c r="AC61" s="536">
        <v>30054.45</v>
      </c>
      <c r="AD61" s="828">
        <v>0.03</v>
      </c>
      <c r="AE61" s="536">
        <v>35063.53</v>
      </c>
      <c r="AF61" s="828">
        <v>0.03</v>
      </c>
      <c r="AG61" s="536">
        <v>36733.22</v>
      </c>
      <c r="AH61" s="828">
        <v>0.04</v>
      </c>
      <c r="AI61" s="536">
        <v>38402.910000000003</v>
      </c>
      <c r="AJ61" s="828">
        <v>0.04</v>
      </c>
      <c r="AK61" s="536">
        <v>40072.6</v>
      </c>
      <c r="AL61" s="828">
        <v>0.04</v>
      </c>
      <c r="AM61" s="536">
        <v>41742.29</v>
      </c>
      <c r="AN61" s="828">
        <v>0.04</v>
      </c>
      <c r="AO61" s="536">
        <v>46751.37</v>
      </c>
      <c r="AP61" s="828">
        <v>0.04</v>
      </c>
      <c r="AQ61" s="536">
        <v>48421.06</v>
      </c>
      <c r="AR61" s="828">
        <v>0.04</v>
      </c>
      <c r="AS61" s="511">
        <v>50090.75</v>
      </c>
      <c r="AT61" s="828">
        <v>0.05</v>
      </c>
      <c r="AU61" s="536">
        <v>51760.45</v>
      </c>
      <c r="AV61" s="828">
        <v>0.05</v>
      </c>
    </row>
    <row r="62" spans="1:48" ht="15" customHeight="1">
      <c r="A62" s="793"/>
      <c r="B62" s="794" t="s">
        <v>95</v>
      </c>
      <c r="C62" s="536">
        <v>531.58000000000004</v>
      </c>
      <c r="D62" s="737">
        <v>0</v>
      </c>
      <c r="E62" s="511">
        <v>1063.1500000000001</v>
      </c>
      <c r="F62" s="737">
        <v>0</v>
      </c>
      <c r="G62" s="536">
        <v>1594.73</v>
      </c>
      <c r="H62" s="737">
        <v>0</v>
      </c>
      <c r="I62" s="536">
        <v>2126.3000000000002</v>
      </c>
      <c r="J62" s="737">
        <v>0</v>
      </c>
      <c r="K62" s="536">
        <v>3721.03</v>
      </c>
      <c r="L62" s="737">
        <v>0</v>
      </c>
      <c r="M62" s="536">
        <v>4252.6000000000004</v>
      </c>
      <c r="N62" s="737">
        <v>0</v>
      </c>
      <c r="O62" s="511">
        <v>4784.18</v>
      </c>
      <c r="P62" s="828">
        <v>0</v>
      </c>
      <c r="Q62" s="536">
        <v>5315.75</v>
      </c>
      <c r="R62" s="828">
        <v>0.01</v>
      </c>
      <c r="S62" s="536">
        <v>5847.33</v>
      </c>
      <c r="T62" s="828">
        <v>0.01</v>
      </c>
      <c r="U62" s="536">
        <v>7442.05</v>
      </c>
      <c r="V62" s="828">
        <v>0.01</v>
      </c>
      <c r="W62" s="536">
        <v>7973.63</v>
      </c>
      <c r="X62" s="828">
        <v>0.01</v>
      </c>
      <c r="Y62" s="536">
        <v>8505.2099999999991</v>
      </c>
      <c r="Z62" s="828">
        <v>0.01</v>
      </c>
      <c r="AA62" s="536">
        <v>9036.7800000000007</v>
      </c>
      <c r="AB62" s="828">
        <v>0.01</v>
      </c>
      <c r="AC62" s="536">
        <v>9568.36</v>
      </c>
      <c r="AD62" s="828">
        <v>0.01</v>
      </c>
      <c r="AE62" s="536">
        <v>11163.08</v>
      </c>
      <c r="AF62" s="828">
        <v>0.01</v>
      </c>
      <c r="AG62" s="536">
        <v>11694.66</v>
      </c>
      <c r="AH62" s="828">
        <v>0.01</v>
      </c>
      <c r="AI62" s="536">
        <v>12226.23</v>
      </c>
      <c r="AJ62" s="828">
        <v>0.01</v>
      </c>
      <c r="AK62" s="536">
        <v>12757.81</v>
      </c>
      <c r="AL62" s="828">
        <v>0.01</v>
      </c>
      <c r="AM62" s="536">
        <v>13289.38</v>
      </c>
      <c r="AN62" s="828">
        <v>0.01</v>
      </c>
      <c r="AO62" s="536">
        <v>14884.11</v>
      </c>
      <c r="AP62" s="828">
        <v>0.01</v>
      </c>
      <c r="AQ62" s="536">
        <v>15415.68</v>
      </c>
      <c r="AR62" s="828">
        <v>0.01</v>
      </c>
      <c r="AS62" s="536">
        <v>15947.26</v>
      </c>
      <c r="AT62" s="828">
        <v>0.02</v>
      </c>
      <c r="AU62" s="536">
        <v>16478.84</v>
      </c>
      <c r="AV62" s="828">
        <v>0.02</v>
      </c>
    </row>
    <row r="63" spans="1:48" ht="15" customHeight="1">
      <c r="A63" s="1040" t="s">
        <v>126</v>
      </c>
      <c r="B63" s="1041"/>
      <c r="C63" s="536">
        <v>164759.73000000001</v>
      </c>
      <c r="D63" s="737">
        <v>0.16</v>
      </c>
      <c r="E63" s="511">
        <v>166244.04999999999</v>
      </c>
      <c r="F63" s="737">
        <v>0.16</v>
      </c>
      <c r="G63" s="536">
        <v>167728.38</v>
      </c>
      <c r="H63" s="737">
        <v>0.16</v>
      </c>
      <c r="I63" s="536">
        <v>169212.7</v>
      </c>
      <c r="J63" s="737">
        <v>0.16</v>
      </c>
      <c r="K63" s="536">
        <v>173665.66</v>
      </c>
      <c r="L63" s="737">
        <v>0.17</v>
      </c>
      <c r="M63" s="536">
        <v>175149.99</v>
      </c>
      <c r="N63" s="737">
        <v>0.17</v>
      </c>
      <c r="O63" s="511">
        <v>176634.31</v>
      </c>
      <c r="P63" s="828">
        <v>0.17</v>
      </c>
      <c r="Q63" s="536">
        <v>178118.63</v>
      </c>
      <c r="R63" s="828">
        <v>0.17</v>
      </c>
      <c r="S63" s="536">
        <v>179602.95</v>
      </c>
      <c r="T63" s="828">
        <v>0.17</v>
      </c>
      <c r="U63" s="536">
        <v>184055.92</v>
      </c>
      <c r="V63" s="828">
        <v>0.18</v>
      </c>
      <c r="W63" s="536">
        <v>185540.24</v>
      </c>
      <c r="X63" s="828">
        <v>0.18</v>
      </c>
      <c r="Y63" s="536">
        <v>187024.56</v>
      </c>
      <c r="Z63" s="828">
        <v>0.18</v>
      </c>
      <c r="AA63" s="536">
        <v>188508.88</v>
      </c>
      <c r="AB63" s="828">
        <v>0.18</v>
      </c>
      <c r="AC63" s="536">
        <v>189993.21</v>
      </c>
      <c r="AD63" s="828">
        <v>0.18</v>
      </c>
      <c r="AE63" s="536">
        <v>194446.17</v>
      </c>
      <c r="AF63" s="828">
        <v>0.18</v>
      </c>
      <c r="AG63" s="536">
        <v>195930.49</v>
      </c>
      <c r="AH63" s="828">
        <v>0.19</v>
      </c>
      <c r="AI63" s="536">
        <v>197414.82</v>
      </c>
      <c r="AJ63" s="828">
        <v>0.19</v>
      </c>
      <c r="AK63" s="536">
        <v>198899.14</v>
      </c>
      <c r="AL63" s="828">
        <v>0.19</v>
      </c>
      <c r="AM63" s="536">
        <v>200383.46</v>
      </c>
      <c r="AN63" s="828">
        <v>0.19</v>
      </c>
      <c r="AO63" s="536">
        <v>204836.42</v>
      </c>
      <c r="AP63" s="828">
        <v>0.2</v>
      </c>
      <c r="AQ63" s="536">
        <v>206320.75</v>
      </c>
      <c r="AR63" s="828">
        <v>0.2</v>
      </c>
      <c r="AS63" s="511">
        <v>207805.07</v>
      </c>
      <c r="AT63" s="828">
        <v>0.2</v>
      </c>
      <c r="AU63" s="536">
        <v>209289.39</v>
      </c>
      <c r="AV63" s="828">
        <v>0.2</v>
      </c>
    </row>
    <row r="64" spans="1:48" ht="15" customHeight="1">
      <c r="A64" s="1040" t="s">
        <v>126</v>
      </c>
      <c r="B64" s="1041"/>
      <c r="C64" s="536">
        <v>1703.77</v>
      </c>
      <c r="D64" s="737">
        <v>0</v>
      </c>
      <c r="E64" s="511">
        <v>2044.52</v>
      </c>
      <c r="F64" s="737">
        <v>0</v>
      </c>
      <c r="G64" s="536">
        <v>2385.27</v>
      </c>
      <c r="H64" s="737">
        <v>0</v>
      </c>
      <c r="I64" s="536">
        <v>2726.03</v>
      </c>
      <c r="J64" s="737">
        <v>0</v>
      </c>
      <c r="K64" s="536">
        <v>3748.29</v>
      </c>
      <c r="L64" s="737">
        <v>0</v>
      </c>
      <c r="M64" s="536">
        <v>4089.04</v>
      </c>
      <c r="N64" s="737">
        <v>0</v>
      </c>
      <c r="O64" s="511">
        <v>4429.79</v>
      </c>
      <c r="P64" s="828">
        <v>0</v>
      </c>
      <c r="Q64" s="536">
        <v>4770.55</v>
      </c>
      <c r="R64" s="828">
        <v>0</v>
      </c>
      <c r="S64" s="536">
        <v>5111.3</v>
      </c>
      <c r="T64" s="828">
        <v>0</v>
      </c>
      <c r="U64" s="536">
        <v>6133.56</v>
      </c>
      <c r="V64" s="828">
        <v>0.01</v>
      </c>
      <c r="W64" s="536">
        <v>6474.32</v>
      </c>
      <c r="X64" s="828">
        <v>0.01</v>
      </c>
      <c r="Y64" s="536">
        <v>6815.07</v>
      </c>
      <c r="Z64" s="828">
        <v>0.01</v>
      </c>
      <c r="AA64" s="536">
        <v>7155.82</v>
      </c>
      <c r="AB64" s="828">
        <v>0.01</v>
      </c>
      <c r="AC64" s="536">
        <v>7496.58</v>
      </c>
      <c r="AD64" s="828">
        <v>0.01</v>
      </c>
      <c r="AE64" s="536">
        <v>8518.84</v>
      </c>
      <c r="AF64" s="828">
        <v>0.01</v>
      </c>
      <c r="AG64" s="536">
        <v>8859.59</v>
      </c>
      <c r="AH64" s="828">
        <v>0.01</v>
      </c>
      <c r="AI64" s="536">
        <v>9200.34</v>
      </c>
      <c r="AJ64" s="828">
        <v>0.01</v>
      </c>
      <c r="AK64" s="536">
        <v>9541.1</v>
      </c>
      <c r="AL64" s="828">
        <v>0.01</v>
      </c>
      <c r="AM64" s="536">
        <v>9881.85</v>
      </c>
      <c r="AN64" s="828">
        <v>0.01</v>
      </c>
      <c r="AO64" s="536">
        <v>681.51</v>
      </c>
      <c r="AP64" s="828">
        <v>0</v>
      </c>
      <c r="AQ64" s="536">
        <v>1022.26</v>
      </c>
      <c r="AR64" s="828">
        <v>0</v>
      </c>
      <c r="AS64" s="511">
        <v>1363.01</v>
      </c>
      <c r="AT64" s="828">
        <v>0</v>
      </c>
      <c r="AU64" s="536">
        <v>1703.77</v>
      </c>
      <c r="AV64" s="828">
        <v>0</v>
      </c>
    </row>
    <row r="65" spans="1:48" ht="15">
      <c r="A65" s="783"/>
      <c r="B65" s="784"/>
      <c r="C65" s="536">
        <v>4394.3599999999997</v>
      </c>
      <c r="D65" s="737">
        <v>0</v>
      </c>
      <c r="E65" s="511">
        <v>4732.38</v>
      </c>
      <c r="F65" s="737">
        <v>0</v>
      </c>
      <c r="G65" s="536">
        <v>5070.41</v>
      </c>
      <c r="H65" s="737">
        <v>0</v>
      </c>
      <c r="I65" s="536">
        <v>5408.44</v>
      </c>
      <c r="J65" s="737">
        <v>0.01</v>
      </c>
      <c r="K65" s="536">
        <v>6422.52</v>
      </c>
      <c r="L65" s="737">
        <v>0.01</v>
      </c>
      <c r="M65" s="536">
        <v>6760.55</v>
      </c>
      <c r="N65" s="737">
        <v>0.01</v>
      </c>
      <c r="O65" s="511">
        <v>7098.58</v>
      </c>
      <c r="P65" s="828">
        <v>0.01</v>
      </c>
      <c r="Q65" s="536">
        <v>7436.6</v>
      </c>
      <c r="R65" s="828">
        <v>0.01</v>
      </c>
      <c r="S65" s="536">
        <v>7774.63</v>
      </c>
      <c r="T65" s="828">
        <v>0.01</v>
      </c>
      <c r="U65" s="536">
        <v>8788.7099999999991</v>
      </c>
      <c r="V65" s="828">
        <v>0.01</v>
      </c>
      <c r="W65" s="536">
        <v>9126.74</v>
      </c>
      <c r="X65" s="828">
        <v>0.01</v>
      </c>
      <c r="Y65" s="536">
        <v>9464.77</v>
      </c>
      <c r="Z65" s="828">
        <v>0.01</v>
      </c>
      <c r="AA65" s="536">
        <v>9802.7900000000009</v>
      </c>
      <c r="AB65" s="828">
        <v>0.01</v>
      </c>
      <c r="AC65" s="536">
        <v>10140.82</v>
      </c>
      <c r="AD65" s="828">
        <v>0.01</v>
      </c>
      <c r="AE65" s="536">
        <v>11154.9</v>
      </c>
      <c r="AF65" s="828">
        <v>0.01</v>
      </c>
      <c r="AG65" s="536">
        <v>11492.93</v>
      </c>
      <c r="AH65" s="828">
        <v>0.01</v>
      </c>
      <c r="AI65" s="536">
        <v>11830.96</v>
      </c>
      <c r="AJ65" s="828">
        <v>0.01</v>
      </c>
      <c r="AK65" s="536">
        <v>12168.99</v>
      </c>
      <c r="AL65" s="828">
        <v>0.01</v>
      </c>
      <c r="AM65" s="536">
        <v>12507.01</v>
      </c>
      <c r="AN65" s="828">
        <v>0.01</v>
      </c>
      <c r="AO65" s="536">
        <v>13521.1</v>
      </c>
      <c r="AP65" s="828">
        <v>0.01</v>
      </c>
      <c r="AQ65" s="536">
        <v>13859.12</v>
      </c>
      <c r="AR65" s="828">
        <v>0.01</v>
      </c>
      <c r="AS65" s="511">
        <v>14197.15</v>
      </c>
      <c r="AT65" s="828">
        <v>0.01</v>
      </c>
      <c r="AU65" s="536">
        <v>14535.18</v>
      </c>
      <c r="AV65" s="828">
        <v>0.01</v>
      </c>
    </row>
    <row r="66" spans="1:48" ht="15" customHeight="1">
      <c r="A66" s="1042" t="s">
        <v>58</v>
      </c>
      <c r="B66" s="1043"/>
      <c r="C66" s="536">
        <v>74.42</v>
      </c>
      <c r="D66" s="737">
        <v>0</v>
      </c>
      <c r="E66" s="511">
        <v>148.84</v>
      </c>
      <c r="F66" s="737">
        <v>0</v>
      </c>
      <c r="G66" s="536">
        <v>179.1</v>
      </c>
      <c r="H66" s="737">
        <v>0</v>
      </c>
      <c r="I66" s="536">
        <v>209.36</v>
      </c>
      <c r="J66" s="737">
        <v>0</v>
      </c>
      <c r="K66" s="536">
        <v>300.13</v>
      </c>
      <c r="L66" s="737">
        <v>0</v>
      </c>
      <c r="M66" s="536">
        <v>330.39</v>
      </c>
      <c r="N66" s="737">
        <v>0</v>
      </c>
      <c r="O66" s="511">
        <v>360.65</v>
      </c>
      <c r="P66" s="828">
        <v>0</v>
      </c>
      <c r="Q66" s="536">
        <v>467.78</v>
      </c>
      <c r="R66" s="828">
        <v>0</v>
      </c>
      <c r="S66" s="536">
        <v>574.91999999999996</v>
      </c>
      <c r="T66" s="828">
        <v>0</v>
      </c>
      <c r="U66" s="536">
        <v>896.31</v>
      </c>
      <c r="V66" s="828">
        <v>0</v>
      </c>
      <c r="W66" s="536">
        <v>921.66</v>
      </c>
      <c r="X66" s="828">
        <v>0</v>
      </c>
      <c r="Y66" s="536">
        <v>935.15</v>
      </c>
      <c r="Z66" s="828">
        <v>0</v>
      </c>
      <c r="AA66" s="536">
        <v>948.65</v>
      </c>
      <c r="AB66" s="828">
        <v>0</v>
      </c>
      <c r="AC66" s="536">
        <v>970.32</v>
      </c>
      <c r="AD66" s="828">
        <v>0</v>
      </c>
      <c r="AE66" s="536">
        <v>1035.3399999999999</v>
      </c>
      <c r="AF66" s="828">
        <v>0</v>
      </c>
      <c r="AG66" s="536">
        <v>1057.01</v>
      </c>
      <c r="AH66" s="828">
        <v>0</v>
      </c>
      <c r="AI66" s="536">
        <v>1078.68</v>
      </c>
      <c r="AJ66" s="828">
        <v>0</v>
      </c>
      <c r="AK66" s="536">
        <v>1079.5</v>
      </c>
      <c r="AL66" s="828">
        <v>0</v>
      </c>
      <c r="AM66" s="536">
        <v>1080.32</v>
      </c>
      <c r="AN66" s="828">
        <v>0</v>
      </c>
      <c r="AO66" s="536">
        <v>1082.77</v>
      </c>
      <c r="AP66" s="828">
        <v>0</v>
      </c>
      <c r="AQ66" s="536">
        <v>1083.5899999999999</v>
      </c>
      <c r="AR66" s="828">
        <v>0</v>
      </c>
      <c r="AS66" s="511">
        <v>1258.5999999999999</v>
      </c>
      <c r="AT66" s="828">
        <v>0</v>
      </c>
      <c r="AU66" s="536">
        <v>1728.44</v>
      </c>
      <c r="AV66" s="828">
        <v>0</v>
      </c>
    </row>
    <row r="67" spans="1:48" s="459" customFormat="1">
      <c r="A67" s="458" t="s">
        <v>120</v>
      </c>
      <c r="B67" s="424" t="s">
        <v>105</v>
      </c>
      <c r="C67" s="549">
        <v>960</v>
      </c>
      <c r="D67" s="699"/>
      <c r="E67" s="766">
        <v>960</v>
      </c>
      <c r="F67" s="699"/>
      <c r="G67" s="766">
        <v>960</v>
      </c>
      <c r="H67" s="699"/>
      <c r="I67" s="766">
        <v>960</v>
      </c>
      <c r="J67" s="699"/>
      <c r="K67" s="819">
        <v>750</v>
      </c>
      <c r="L67" s="699"/>
      <c r="M67" s="819">
        <v>750</v>
      </c>
      <c r="N67" s="699"/>
      <c r="O67" s="830">
        <v>750</v>
      </c>
      <c r="P67" s="829"/>
      <c r="Q67" s="830">
        <v>750</v>
      </c>
      <c r="R67" s="829"/>
      <c r="S67" s="830">
        <v>750</v>
      </c>
      <c r="T67" s="829"/>
      <c r="U67" s="830">
        <v>750</v>
      </c>
      <c r="V67" s="829"/>
      <c r="W67" s="830">
        <v>750</v>
      </c>
      <c r="X67" s="829"/>
      <c r="Y67" s="830">
        <v>750</v>
      </c>
      <c r="Z67" s="829"/>
      <c r="AA67" s="830">
        <v>750</v>
      </c>
      <c r="AB67" s="829"/>
      <c r="AC67" s="830">
        <v>750</v>
      </c>
      <c r="AD67" s="829"/>
      <c r="AE67" s="830">
        <v>750</v>
      </c>
      <c r="AF67" s="829"/>
      <c r="AG67" s="830">
        <v>750</v>
      </c>
      <c r="AH67" s="829"/>
      <c r="AI67" s="830">
        <v>750</v>
      </c>
      <c r="AJ67" s="829"/>
      <c r="AK67" s="830">
        <v>750</v>
      </c>
      <c r="AL67" s="829"/>
      <c r="AM67" s="830">
        <v>750</v>
      </c>
      <c r="AN67" s="829"/>
      <c r="AO67" s="830">
        <v>750</v>
      </c>
      <c r="AP67" s="829"/>
      <c r="AQ67" s="830">
        <v>750</v>
      </c>
      <c r="AR67" s="829"/>
      <c r="AS67" s="830">
        <v>750</v>
      </c>
      <c r="AT67" s="829"/>
      <c r="AU67" s="830">
        <v>750</v>
      </c>
      <c r="AV67" s="829"/>
    </row>
    <row r="68" spans="1:48" s="459" customFormat="1">
      <c r="A68" s="543" t="s">
        <v>132</v>
      </c>
      <c r="B68" s="544"/>
      <c r="C68" s="754"/>
      <c r="D68" s="699"/>
      <c r="E68" s="754"/>
      <c r="F68" s="699"/>
      <c r="G68" s="754"/>
      <c r="H68" s="699"/>
      <c r="I68" s="754"/>
      <c r="J68" s="699"/>
      <c r="K68" s="754"/>
      <c r="L68" s="699"/>
      <c r="M68" s="754"/>
      <c r="N68" s="699"/>
      <c r="O68" s="754"/>
      <c r="P68" s="829"/>
      <c r="Q68" s="754"/>
      <c r="R68" s="829"/>
      <c r="S68" s="754"/>
      <c r="T68" s="829"/>
      <c r="U68" s="754"/>
      <c r="V68" s="829"/>
      <c r="W68" s="754"/>
      <c r="X68" s="829"/>
      <c r="Y68" s="754"/>
      <c r="Z68" s="829"/>
      <c r="AA68" s="754"/>
      <c r="AB68" s="829"/>
      <c r="AC68" s="754"/>
      <c r="AD68" s="829"/>
      <c r="AE68" s="754"/>
      <c r="AF68" s="829"/>
      <c r="AG68" s="754"/>
      <c r="AH68" s="829"/>
      <c r="AI68" s="754"/>
      <c r="AJ68" s="829"/>
      <c r="AK68" s="754"/>
      <c r="AL68" s="829"/>
      <c r="AM68" s="754"/>
      <c r="AN68" s="829"/>
      <c r="AO68" s="754"/>
      <c r="AP68" s="829"/>
      <c r="AQ68" s="754"/>
      <c r="AR68" s="829"/>
      <c r="AS68" s="754"/>
      <c r="AT68" s="829"/>
      <c r="AU68" s="754"/>
      <c r="AV68" s="829"/>
    </row>
    <row r="69" spans="1:48" s="459" customFormat="1" ht="15">
      <c r="A69" s="1032" t="s">
        <v>39</v>
      </c>
      <c r="B69" s="1044" t="s">
        <v>39</v>
      </c>
      <c r="C69" s="754"/>
      <c r="D69" s="699"/>
      <c r="E69" s="754"/>
      <c r="F69" s="699"/>
      <c r="G69" s="754"/>
      <c r="H69" s="699"/>
      <c r="I69" s="754"/>
      <c r="J69" s="699"/>
      <c r="K69" s="754"/>
      <c r="L69" s="699"/>
      <c r="M69" s="754"/>
      <c r="N69" s="699"/>
      <c r="O69" s="754"/>
      <c r="P69" s="699"/>
      <c r="Q69" s="754"/>
      <c r="R69" s="699"/>
      <c r="S69" s="754"/>
      <c r="T69" s="699"/>
      <c r="U69" s="754"/>
      <c r="V69" s="699"/>
      <c r="W69" s="754"/>
      <c r="X69" s="699"/>
      <c r="Y69" s="754"/>
      <c r="Z69" s="699"/>
      <c r="AA69" s="754"/>
      <c r="AB69" s="699"/>
      <c r="AC69" s="754"/>
      <c r="AD69" s="699"/>
      <c r="AE69" s="754"/>
      <c r="AF69" s="699"/>
      <c r="AG69" s="754"/>
      <c r="AH69" s="699"/>
      <c r="AI69" s="754"/>
      <c r="AJ69" s="699"/>
      <c r="AK69" s="754"/>
      <c r="AL69" s="699"/>
      <c r="AM69" s="754"/>
      <c r="AN69" s="699"/>
      <c r="AO69" s="754"/>
      <c r="AP69" s="699"/>
      <c r="AQ69" s="754"/>
      <c r="AR69" s="699"/>
      <c r="AS69" s="754"/>
      <c r="AT69" s="699"/>
      <c r="AU69" s="754"/>
      <c r="AV69" s="699"/>
    </row>
    <row r="70" spans="1:48" ht="16.5" thickBot="1">
      <c r="A70" s="1018"/>
      <c r="B70" s="1019"/>
      <c r="C70" s="626">
        <f t="shared" ref="C70:D70" si="82">SUM(C39:C69)</f>
        <v>4841980.5700000022</v>
      </c>
      <c r="D70" s="684">
        <f t="shared" si="82"/>
        <v>4.629999999999999</v>
      </c>
      <c r="E70" s="626">
        <f t="shared" ref="E70:F70" si="83">SUM(E39:E69)</f>
        <v>4846096.1300000008</v>
      </c>
      <c r="F70" s="684">
        <f t="shared" si="83"/>
        <v>4.6399999999999988</v>
      </c>
      <c r="G70" s="626">
        <f t="shared" ref="G70:H70" si="84">SUM(G39:G69)</f>
        <v>4859132.54</v>
      </c>
      <c r="H70" s="684">
        <f t="shared" si="84"/>
        <v>4.6699999999999982</v>
      </c>
      <c r="I70" s="626">
        <f t="shared" ref="I70:J70" si="85">SUM(I39:I69)</f>
        <v>4861376.660000002</v>
      </c>
      <c r="J70" s="684">
        <f t="shared" si="85"/>
        <v>4.6699999999999982</v>
      </c>
      <c r="K70" s="626">
        <f t="shared" ref="K70:L70" si="86">SUM(K39:K69)</f>
        <v>4867898.9999999991</v>
      </c>
      <c r="L70" s="684">
        <f t="shared" si="86"/>
        <v>4.6699999999999973</v>
      </c>
      <c r="M70" s="626">
        <f t="shared" ref="M70:N70" si="87">SUM(M39:M69)</f>
        <v>4846327.8999999994</v>
      </c>
      <c r="N70" s="684">
        <f t="shared" si="87"/>
        <v>4.6399999999999979</v>
      </c>
      <c r="O70" s="626">
        <f t="shared" ref="O70:P70" si="88">SUM(O39:O69)</f>
        <v>4851626.3099999987</v>
      </c>
      <c r="P70" s="684">
        <f t="shared" si="88"/>
        <v>4.6499999999999977</v>
      </c>
      <c r="Q70" s="626">
        <f t="shared" ref="Q70:T70" si="89">SUM(Q39:Q69)</f>
        <v>4853947.2999999989</v>
      </c>
      <c r="R70" s="684">
        <f t="shared" si="89"/>
        <v>4.6599999999999975</v>
      </c>
      <c r="S70" s="684">
        <f t="shared" si="89"/>
        <v>4854143.33</v>
      </c>
      <c r="T70" s="684">
        <f t="shared" si="89"/>
        <v>4.6499999999999977</v>
      </c>
      <c r="U70" s="684">
        <f t="shared" ref="U70:V70" si="90">SUM(U39:U69)</f>
        <v>4861106.3099999977</v>
      </c>
      <c r="V70" s="684">
        <f t="shared" si="90"/>
        <v>4.6599999999999966</v>
      </c>
      <c r="W70" s="684">
        <f t="shared" ref="W70:X70" si="91">SUM(W39:W69)</f>
        <v>4846171.58</v>
      </c>
      <c r="X70" s="684">
        <f t="shared" si="91"/>
        <v>4.639999999999997</v>
      </c>
      <c r="Y70" s="684">
        <f t="shared" ref="Y70:Z70" si="92">SUM(Y39:Y69)</f>
        <v>4828278.8</v>
      </c>
      <c r="Z70" s="684">
        <f t="shared" si="92"/>
        <v>4.6399999999999979</v>
      </c>
      <c r="AA70" s="684">
        <f t="shared" ref="AA70:AB70" si="93">SUM(AA39:AA69)</f>
        <v>4731292.3899999997</v>
      </c>
      <c r="AB70" s="684">
        <f t="shared" si="93"/>
        <v>4.5399999999999983</v>
      </c>
      <c r="AC70" s="684">
        <f t="shared" ref="AC70:AD70" si="94">SUM(AC39:AC69)</f>
        <v>4733814.1700000009</v>
      </c>
      <c r="AD70" s="684">
        <f t="shared" si="94"/>
        <v>4.5399999999999983</v>
      </c>
      <c r="AE70" s="684">
        <f t="shared" ref="AE70:AF70" si="95">SUM(AE39:AE69)</f>
        <v>4741379.4800000004</v>
      </c>
      <c r="AF70" s="684">
        <f t="shared" si="95"/>
        <v>4.5399999999999983</v>
      </c>
      <c r="AG70" s="684">
        <f t="shared" ref="AG70:AH70" si="96">SUM(AG39:AG69)</f>
        <v>4707008.5599999996</v>
      </c>
      <c r="AH70" s="684">
        <f t="shared" si="96"/>
        <v>4.4999999999999991</v>
      </c>
      <c r="AI70" s="684">
        <f t="shared" ref="AI70:AJ70" si="97">SUM(AI39:AI69)</f>
        <v>4709530.3299999991</v>
      </c>
      <c r="AJ70" s="684">
        <f t="shared" si="97"/>
        <v>4.5099999999999989</v>
      </c>
      <c r="AK70" s="684">
        <f t="shared" ref="AK70:AL70" si="98">SUM(AK39:AK69)</f>
        <v>4712031.2699999977</v>
      </c>
      <c r="AL70" s="684">
        <f t="shared" si="98"/>
        <v>4.5099999999999989</v>
      </c>
      <c r="AM70" s="684">
        <f t="shared" ref="AM70:AN70" si="99">SUM(AM39:AM69)</f>
        <v>4714532.1399999978</v>
      </c>
      <c r="AN70" s="684">
        <f t="shared" si="99"/>
        <v>4.4999999999999982</v>
      </c>
      <c r="AO70" s="684">
        <f t="shared" ref="AO70:AP70" si="100">SUM(AO39:AO69)</f>
        <v>4711812.2899999972</v>
      </c>
      <c r="AP70" s="684">
        <f t="shared" si="100"/>
        <v>4.4899999999999984</v>
      </c>
      <c r="AQ70" s="684">
        <f t="shared" ref="AQ70:AR70" si="101">SUM(AQ39:AQ69)</f>
        <v>4714313.1899999976</v>
      </c>
      <c r="AR70" s="684">
        <f t="shared" si="101"/>
        <v>4.4899999999999984</v>
      </c>
      <c r="AS70" s="684">
        <f t="shared" ref="AS70:AT70" si="102">SUM(AS39:AS69)</f>
        <v>4564812.6399999987</v>
      </c>
      <c r="AT70" s="684">
        <f t="shared" si="102"/>
        <v>4.3599999999999985</v>
      </c>
      <c r="AU70" s="684">
        <f t="shared" ref="AU70:AV70" si="103">SUM(AU39:AU69)</f>
        <v>4662603.6899999995</v>
      </c>
      <c r="AV70" s="684">
        <f t="shared" si="103"/>
        <v>4.4499999999999975</v>
      </c>
    </row>
    <row r="71" spans="1:48">
      <c r="B71" s="142" t="s">
        <v>59</v>
      </c>
      <c r="C71" s="627">
        <f t="shared" ref="C71:D71" si="104">C9+C15+C18</f>
        <v>66762667.43</v>
      </c>
      <c r="D71" s="627">
        <f t="shared" si="104"/>
        <v>63.81</v>
      </c>
      <c r="E71" s="627">
        <f t="shared" ref="E71:F71" si="105">E9+E15+E18</f>
        <v>66789577.769999996</v>
      </c>
      <c r="F71" s="627">
        <f t="shared" si="105"/>
        <v>63.84</v>
      </c>
      <c r="G71" s="627">
        <f t="shared" ref="G71:H71" si="106">G9+G15+G18</f>
        <v>66693103.219999999</v>
      </c>
      <c r="H71" s="627">
        <f t="shared" si="106"/>
        <v>64.149999999999991</v>
      </c>
      <c r="I71" s="627">
        <f t="shared" ref="I71:J71" si="107">I9+I15+I18</f>
        <v>66848650.460000001</v>
      </c>
      <c r="J71" s="627">
        <f t="shared" si="107"/>
        <v>64.2</v>
      </c>
      <c r="K71" s="627">
        <f t="shared" ref="K71:L71" si="108">K9+K15+K18</f>
        <v>66931988.090000004</v>
      </c>
      <c r="L71" s="627">
        <f t="shared" si="108"/>
        <v>64.22</v>
      </c>
      <c r="M71" s="627">
        <f t="shared" ref="M71:N71" si="109">M9+M15+M18</f>
        <v>66773642.560000002</v>
      </c>
      <c r="N71" s="627">
        <f t="shared" si="109"/>
        <v>64.209999999999994</v>
      </c>
      <c r="O71" s="627">
        <f t="shared" ref="O71:P71" si="110">O9+O15+O18</f>
        <v>65953877.329999998</v>
      </c>
      <c r="P71" s="627">
        <f t="shared" si="110"/>
        <v>63.33</v>
      </c>
      <c r="Q71" s="627">
        <f t="shared" ref="Q71:R71" si="111">Q9+Q15+Q18</f>
        <v>66069125.359999999</v>
      </c>
      <c r="R71" s="627">
        <f t="shared" si="111"/>
        <v>63.37</v>
      </c>
      <c r="S71" s="627">
        <f t="shared" ref="S71:T71" si="112">S9+S15+S18</f>
        <v>66013972.060000002</v>
      </c>
      <c r="T71" s="627">
        <f t="shared" si="112"/>
        <v>63.349999999999994</v>
      </c>
      <c r="U71" s="627">
        <f t="shared" ref="U71:V71" si="113">U9+U15+U18</f>
        <v>66186255.390000001</v>
      </c>
      <c r="V71" s="627">
        <f t="shared" si="113"/>
        <v>63.409999999999989</v>
      </c>
      <c r="W71" s="627">
        <f t="shared" ref="W71:X71" si="114">W9+W15+W18</f>
        <v>66123937.719999999</v>
      </c>
      <c r="X71" s="627">
        <f t="shared" si="114"/>
        <v>63.390000000000008</v>
      </c>
      <c r="Y71" s="627">
        <f t="shared" ref="Y71:Z71" si="115">Y9+Y15+Y18</f>
        <v>66150561.670000002</v>
      </c>
      <c r="Z71" s="627">
        <f t="shared" si="115"/>
        <v>63.480000000000004</v>
      </c>
      <c r="AA71" s="627">
        <f t="shared" ref="AA71:AB71" si="116">AA9+AA15+AA18</f>
        <v>66099401.049999997</v>
      </c>
      <c r="AB71" s="627">
        <f t="shared" si="116"/>
        <v>63.459999999999994</v>
      </c>
      <c r="AC71" s="627">
        <f t="shared" ref="AC71:AD71" si="117">AC9+AC15+AC18</f>
        <v>66200587.640000001</v>
      </c>
      <c r="AD71" s="627">
        <f t="shared" si="117"/>
        <v>63.5</v>
      </c>
      <c r="AE71" s="627">
        <f t="shared" ref="AE71:AF71" si="118">AE9+AE15+AE18</f>
        <v>66281267.599999994</v>
      </c>
      <c r="AF71" s="627">
        <f t="shared" si="118"/>
        <v>63.519999999999996</v>
      </c>
      <c r="AG71" s="627">
        <f t="shared" ref="AG71:AH71" si="119">AG9+AG15+AG18</f>
        <v>66302554.829999998</v>
      </c>
      <c r="AH71" s="627">
        <f t="shared" si="119"/>
        <v>63.519999999999996</v>
      </c>
      <c r="AI71" s="627">
        <f t="shared" ref="AI71:AJ71" si="120">AI9+AI15+AI18</f>
        <v>61576679.180000007</v>
      </c>
      <c r="AJ71" s="627">
        <f t="shared" si="120"/>
        <v>59.010000000000005</v>
      </c>
      <c r="AK71" s="627">
        <f t="shared" ref="AK71:AL71" si="121">AK9+AK15+AK18</f>
        <v>66544597.480000004</v>
      </c>
      <c r="AL71" s="627">
        <f t="shared" si="121"/>
        <v>63.79</v>
      </c>
      <c r="AM71" s="627">
        <f t="shared" ref="AM71:AN71" si="122">AM9+AM15+AM18</f>
        <v>66650044.629999995</v>
      </c>
      <c r="AN71" s="627">
        <f t="shared" si="122"/>
        <v>63.83</v>
      </c>
      <c r="AO71" s="627">
        <f t="shared" ref="AO71:AP71" si="123">AO9+AO15+AO18</f>
        <v>66796559.460000001</v>
      </c>
      <c r="AP71" s="627">
        <f t="shared" si="123"/>
        <v>63.88</v>
      </c>
      <c r="AQ71" s="627">
        <f t="shared" ref="AQ71:AR71" si="124">AQ9+AQ15+AQ18</f>
        <v>66690497.030000001</v>
      </c>
      <c r="AR71" s="627">
        <f t="shared" si="124"/>
        <v>63.830000000000005</v>
      </c>
      <c r="AS71" s="627">
        <f t="shared" ref="AS71:AT71" si="125">AS9+AS15+AS18</f>
        <v>66043803.93</v>
      </c>
      <c r="AT71" s="627">
        <f t="shared" si="125"/>
        <v>63.19</v>
      </c>
      <c r="AU71" s="627">
        <f t="shared" ref="AU71:AV71" si="126">AU9+AU15+AU18</f>
        <v>66188009.869999997</v>
      </c>
      <c r="AV71" s="627">
        <f t="shared" si="126"/>
        <v>63.18</v>
      </c>
    </row>
    <row r="72" spans="1:48">
      <c r="A72" s="145"/>
      <c r="B72" s="145" t="s">
        <v>109</v>
      </c>
      <c r="C72" s="628">
        <f t="shared" ref="C72:D72" si="127">C36</f>
        <v>26021761.259999998</v>
      </c>
      <c r="D72" s="628">
        <f t="shared" si="127"/>
        <v>24.870000000000005</v>
      </c>
      <c r="E72" s="628">
        <f t="shared" ref="E72:F72" si="128">E36</f>
        <v>25973435.91</v>
      </c>
      <c r="F72" s="628">
        <f t="shared" si="128"/>
        <v>24.830000000000002</v>
      </c>
      <c r="G72" s="628">
        <f t="shared" ref="G72:H72" si="129">G36</f>
        <v>25402925.620000001</v>
      </c>
      <c r="H72" s="628">
        <f t="shared" si="129"/>
        <v>24.440000000000005</v>
      </c>
      <c r="I72" s="628">
        <f t="shared" ref="I72:J72" si="130">I36</f>
        <v>25405431.620000001</v>
      </c>
      <c r="J72" s="628">
        <f t="shared" si="130"/>
        <v>24.400000000000002</v>
      </c>
      <c r="K72" s="628">
        <f t="shared" ref="K72:L72" si="131">K36</f>
        <v>25414527.23</v>
      </c>
      <c r="L72" s="628">
        <f t="shared" si="131"/>
        <v>24.390000000000004</v>
      </c>
      <c r="M72" s="628">
        <f t="shared" ref="M72:N72" si="132">M36</f>
        <v>25445950.210000001</v>
      </c>
      <c r="N72" s="628">
        <f t="shared" si="132"/>
        <v>24.42</v>
      </c>
      <c r="O72" s="628">
        <f t="shared" ref="O72:P72" si="133">O36</f>
        <v>26324683.649999999</v>
      </c>
      <c r="P72" s="628">
        <f t="shared" si="133"/>
        <v>25.280000000000005</v>
      </c>
      <c r="Q72" s="628">
        <f t="shared" ref="Q72:R72" si="134">Q36</f>
        <v>26325790.649999999</v>
      </c>
      <c r="R72" s="628">
        <f t="shared" si="134"/>
        <v>25.25</v>
      </c>
      <c r="S72" s="628">
        <f t="shared" ref="S72:T72" si="135">S36</f>
        <v>26332103.649999999</v>
      </c>
      <c r="T72" s="628">
        <f t="shared" si="135"/>
        <v>25.270000000000003</v>
      </c>
      <c r="U72" s="628">
        <f t="shared" ref="U72:V72" si="136">U36</f>
        <v>26332103.649999999</v>
      </c>
      <c r="V72" s="628">
        <f t="shared" si="136"/>
        <v>25.220000000000002</v>
      </c>
      <c r="W72" s="628">
        <f t="shared" ref="W72:X72" si="137">W36</f>
        <v>26348213.240000002</v>
      </c>
      <c r="X72" s="628">
        <f t="shared" si="137"/>
        <v>25.26</v>
      </c>
      <c r="Y72" s="628">
        <f t="shared" ref="Y72:Z72" si="138">Y36</f>
        <v>26220321.77</v>
      </c>
      <c r="Z72" s="628">
        <f t="shared" si="138"/>
        <v>25.160000000000004</v>
      </c>
      <c r="AA72" s="628">
        <f t="shared" ref="AA72:AB72" si="139">AA36</f>
        <v>26320007.43</v>
      </c>
      <c r="AB72" s="628">
        <f t="shared" si="139"/>
        <v>25.270000000000003</v>
      </c>
      <c r="AC72" s="628">
        <f t="shared" ref="AC72:AD72" si="140">AC36</f>
        <v>26320007.43</v>
      </c>
      <c r="AD72" s="628">
        <f t="shared" si="140"/>
        <v>25.240000000000002</v>
      </c>
      <c r="AE72" s="628">
        <f t="shared" ref="AE72:AF72" si="141">AE36</f>
        <v>26320007.43</v>
      </c>
      <c r="AF72" s="628">
        <f t="shared" si="141"/>
        <v>25.22</v>
      </c>
      <c r="AG72" s="628">
        <f t="shared" ref="AG72:AH72" si="142">AG36</f>
        <v>26377772.59</v>
      </c>
      <c r="AH72" s="628">
        <f t="shared" si="142"/>
        <v>25.27</v>
      </c>
      <c r="AI72" s="628">
        <f t="shared" ref="AI72:AJ72" si="143">AI36</f>
        <v>31063634.59</v>
      </c>
      <c r="AJ72" s="628">
        <f t="shared" si="143"/>
        <v>29.77</v>
      </c>
      <c r="AK72" s="628">
        <f t="shared" ref="AK72:AL72" si="144">AK36</f>
        <v>26063762.890000001</v>
      </c>
      <c r="AL72" s="628">
        <f t="shared" si="144"/>
        <v>24.98</v>
      </c>
      <c r="AM72" s="628">
        <f t="shared" ref="AM72:AN72" si="145">AM36</f>
        <v>26063762.890000001</v>
      </c>
      <c r="AN72" s="628">
        <f t="shared" si="145"/>
        <v>24.96</v>
      </c>
      <c r="AO72" s="628">
        <f t="shared" ref="AO72:AP72" si="146">AO36</f>
        <v>26076623.800000001</v>
      </c>
      <c r="AP72" s="628">
        <f t="shared" si="146"/>
        <v>24.930000000000003</v>
      </c>
      <c r="AQ72" s="628">
        <f t="shared" ref="AQ72:AR72" si="147">AQ36</f>
        <v>26078463.800000001</v>
      </c>
      <c r="AR72" s="628">
        <f t="shared" si="147"/>
        <v>24.96</v>
      </c>
      <c r="AS72" s="628">
        <f t="shared" ref="AS72:AT72" si="148">AS36</f>
        <v>26917064.460000001</v>
      </c>
      <c r="AT72" s="628">
        <f t="shared" si="148"/>
        <v>25.750000000000004</v>
      </c>
      <c r="AU72" s="628">
        <f t="shared" ref="AU72:AV72" si="149">AU36</f>
        <v>26901896.420000002</v>
      </c>
      <c r="AV72" s="628">
        <f t="shared" si="149"/>
        <v>25.68</v>
      </c>
    </row>
    <row r="73" spans="1:48">
      <c r="B73" s="145" t="s">
        <v>110</v>
      </c>
      <c r="C73" s="628">
        <f t="shared" ref="C73:D73" si="150">C22</f>
        <v>7005983.7000000002</v>
      </c>
      <c r="D73" s="628">
        <f t="shared" si="150"/>
        <v>6.69</v>
      </c>
      <c r="E73" s="628">
        <f t="shared" ref="E73:F73" si="151">E22</f>
        <v>7005983.7000000002</v>
      </c>
      <c r="F73" s="628">
        <f t="shared" si="151"/>
        <v>6.69</v>
      </c>
      <c r="G73" s="628">
        <f t="shared" ref="G73:H73" si="152">G22</f>
        <v>7005983.7000000002</v>
      </c>
      <c r="H73" s="628">
        <f t="shared" si="152"/>
        <v>6.74</v>
      </c>
      <c r="I73" s="628">
        <f t="shared" ref="I73:J73" si="153">I22</f>
        <v>7005983.7000000002</v>
      </c>
      <c r="J73" s="628">
        <f t="shared" si="153"/>
        <v>6.7299999999999995</v>
      </c>
      <c r="K73" s="628">
        <f t="shared" ref="K73:L73" si="154">K22</f>
        <v>7005983.7000000002</v>
      </c>
      <c r="L73" s="628">
        <f t="shared" si="154"/>
        <v>6.72</v>
      </c>
      <c r="M73" s="628">
        <f t="shared" ref="M73:N73" si="155">M22</f>
        <v>7005983.7000000002</v>
      </c>
      <c r="N73" s="628">
        <f t="shared" si="155"/>
        <v>6.7299999999999995</v>
      </c>
      <c r="O73" s="628">
        <f t="shared" ref="O73:P73" si="156">O22</f>
        <v>7005983.7000000002</v>
      </c>
      <c r="P73" s="628">
        <f t="shared" si="156"/>
        <v>6.7299999999999995</v>
      </c>
      <c r="Q73" s="628">
        <f t="shared" ref="Q73:R73" si="157">Q22</f>
        <v>7005983.7000000002</v>
      </c>
      <c r="R73" s="628">
        <f t="shared" si="157"/>
        <v>6.72</v>
      </c>
      <c r="S73" s="628">
        <f t="shared" ref="S73:T73" si="158">S22</f>
        <v>7005983.7000000002</v>
      </c>
      <c r="T73" s="628">
        <f t="shared" si="158"/>
        <v>6.7299999999999995</v>
      </c>
      <c r="U73" s="628">
        <f t="shared" ref="U73:V73" si="159">U22</f>
        <v>7005983.7000000002</v>
      </c>
      <c r="V73" s="628">
        <f t="shared" si="159"/>
        <v>6.71</v>
      </c>
      <c r="W73" s="628">
        <f t="shared" ref="W73:X73" si="160">W22</f>
        <v>7005983.7000000002</v>
      </c>
      <c r="X73" s="628">
        <f t="shared" si="160"/>
        <v>6.71</v>
      </c>
      <c r="Y73" s="628">
        <f t="shared" ref="Y73:Z73" si="161">Y22</f>
        <v>7005983.7000000002</v>
      </c>
      <c r="Z73" s="628">
        <f t="shared" si="161"/>
        <v>6.72</v>
      </c>
      <c r="AA73" s="628">
        <f t="shared" ref="AA73:AB73" si="162">AA22</f>
        <v>7005983.7000000002</v>
      </c>
      <c r="AB73" s="628">
        <f t="shared" si="162"/>
        <v>6.7299999999999995</v>
      </c>
      <c r="AC73" s="628">
        <f t="shared" ref="AC73:AD73" si="163">AC22</f>
        <v>7005983.7000000002</v>
      </c>
      <c r="AD73" s="628">
        <f t="shared" si="163"/>
        <v>6.72</v>
      </c>
      <c r="AE73" s="628">
        <f t="shared" ref="AE73:AF73" si="164">AE22</f>
        <v>7005983.7000000002</v>
      </c>
      <c r="AF73" s="628">
        <f t="shared" si="164"/>
        <v>6.72</v>
      </c>
      <c r="AG73" s="628">
        <f t="shared" ref="AG73:AH73" si="165">AG22</f>
        <v>7005983.7000000002</v>
      </c>
      <c r="AH73" s="628">
        <f t="shared" si="165"/>
        <v>6.71</v>
      </c>
      <c r="AI73" s="628">
        <f t="shared" ref="AI73:AJ73" si="166">AI22</f>
        <v>7005983.7000000002</v>
      </c>
      <c r="AJ73" s="628">
        <f t="shared" si="166"/>
        <v>6.71</v>
      </c>
      <c r="AK73" s="628">
        <f t="shared" ref="AK73:AL73" si="167">AK22</f>
        <v>7005983.7000000002</v>
      </c>
      <c r="AL73" s="628">
        <f t="shared" si="167"/>
        <v>6.72</v>
      </c>
      <c r="AM73" s="628">
        <f t="shared" ref="AM73:AN73" si="168">AM22</f>
        <v>7005983.7000000002</v>
      </c>
      <c r="AN73" s="628">
        <f t="shared" si="168"/>
        <v>6.72</v>
      </c>
      <c r="AO73" s="628">
        <f t="shared" ref="AO73:AP73" si="169">AO22</f>
        <v>7005983.7000000002</v>
      </c>
      <c r="AP73" s="628">
        <f t="shared" si="169"/>
        <v>6.7</v>
      </c>
      <c r="AQ73" s="628">
        <f t="shared" ref="AQ73:AR73" si="170">AQ22</f>
        <v>7005983.7000000002</v>
      </c>
      <c r="AR73" s="628">
        <f t="shared" si="170"/>
        <v>6.71</v>
      </c>
      <c r="AS73" s="628">
        <f t="shared" ref="AS73:AT73" si="171">AS22</f>
        <v>7005983.7000000002</v>
      </c>
      <c r="AT73" s="628">
        <f t="shared" si="171"/>
        <v>6.71</v>
      </c>
      <c r="AU73" s="628">
        <f t="shared" ref="AU73:AV73" si="172">AU22</f>
        <v>7005983.7000000002</v>
      </c>
      <c r="AV73" s="628">
        <f t="shared" si="172"/>
        <v>6.69</v>
      </c>
    </row>
    <row r="74" spans="1:48">
      <c r="B74" s="145" t="s">
        <v>122</v>
      </c>
      <c r="C74" s="628"/>
      <c r="D74" s="628"/>
      <c r="E74" s="628"/>
      <c r="F74" s="628"/>
      <c r="G74" s="628"/>
      <c r="H74" s="628"/>
      <c r="I74" s="628"/>
      <c r="J74" s="628"/>
      <c r="K74" s="628"/>
      <c r="L74" s="628"/>
      <c r="M74" s="628"/>
      <c r="N74" s="628"/>
      <c r="O74" s="628"/>
      <c r="P74" s="628"/>
      <c r="Q74" s="628"/>
      <c r="R74" s="628"/>
      <c r="S74" s="628"/>
      <c r="T74" s="628"/>
      <c r="U74" s="628"/>
      <c r="V74" s="628"/>
      <c r="W74" s="628"/>
      <c r="X74" s="628"/>
      <c r="Y74" s="628"/>
      <c r="Z74" s="628"/>
      <c r="AA74" s="628"/>
      <c r="AB74" s="628"/>
      <c r="AC74" s="628"/>
      <c r="AD74" s="628"/>
      <c r="AE74" s="628"/>
      <c r="AF74" s="628"/>
      <c r="AG74" s="628"/>
      <c r="AH74" s="628"/>
      <c r="AI74" s="628"/>
      <c r="AJ74" s="628"/>
      <c r="AK74" s="628"/>
      <c r="AL74" s="628"/>
      <c r="AM74" s="628"/>
      <c r="AN74" s="628"/>
      <c r="AO74" s="628"/>
      <c r="AP74" s="628"/>
      <c r="AQ74" s="628"/>
      <c r="AR74" s="628"/>
      <c r="AS74" s="628"/>
      <c r="AT74" s="628"/>
      <c r="AU74" s="628"/>
      <c r="AV74" s="628"/>
    </row>
    <row r="75" spans="1:48" ht="16.5" thickBot="1">
      <c r="A75" s="1037"/>
      <c r="B75" s="1038"/>
      <c r="C75" s="629">
        <f t="shared" ref="C75:D75" si="173">C70</f>
        <v>4841980.5700000022</v>
      </c>
      <c r="D75" s="629">
        <f t="shared" si="173"/>
        <v>4.629999999999999</v>
      </c>
      <c r="E75" s="629">
        <f t="shared" ref="E75:F75" si="174">E70</f>
        <v>4846096.1300000008</v>
      </c>
      <c r="F75" s="629">
        <f t="shared" si="174"/>
        <v>4.6399999999999988</v>
      </c>
      <c r="G75" s="629">
        <f t="shared" ref="G75:H75" si="175">G70</f>
        <v>4859132.54</v>
      </c>
      <c r="H75" s="629">
        <f t="shared" si="175"/>
        <v>4.6699999999999982</v>
      </c>
      <c r="I75" s="629">
        <f t="shared" ref="I75:J75" si="176">I70</f>
        <v>4861376.660000002</v>
      </c>
      <c r="J75" s="629">
        <f t="shared" si="176"/>
        <v>4.6699999999999982</v>
      </c>
      <c r="K75" s="629">
        <f t="shared" ref="K75:L75" si="177">K70</f>
        <v>4867898.9999999991</v>
      </c>
      <c r="L75" s="629">
        <f t="shared" si="177"/>
        <v>4.6699999999999973</v>
      </c>
      <c r="M75" s="629">
        <f t="shared" ref="M75:N75" si="178">M70</f>
        <v>4846327.8999999994</v>
      </c>
      <c r="N75" s="629">
        <f t="shared" si="178"/>
        <v>4.6399999999999979</v>
      </c>
      <c r="O75" s="629">
        <f t="shared" ref="O75:P75" si="179">O70</f>
        <v>4851626.3099999987</v>
      </c>
      <c r="P75" s="629">
        <f t="shared" si="179"/>
        <v>4.6499999999999977</v>
      </c>
      <c r="Q75" s="629">
        <f t="shared" ref="Q75:R75" si="180">Q70</f>
        <v>4853947.2999999989</v>
      </c>
      <c r="R75" s="629">
        <f t="shared" si="180"/>
        <v>4.6599999999999975</v>
      </c>
      <c r="S75" s="629">
        <f t="shared" ref="S75:T75" si="181">S70</f>
        <v>4854143.33</v>
      </c>
      <c r="T75" s="629">
        <f t="shared" si="181"/>
        <v>4.6499999999999977</v>
      </c>
      <c r="U75" s="629">
        <f t="shared" ref="U75:V75" si="182">U70</f>
        <v>4861106.3099999977</v>
      </c>
      <c r="V75" s="629">
        <f t="shared" si="182"/>
        <v>4.6599999999999966</v>
      </c>
      <c r="W75" s="629">
        <f t="shared" ref="W75:X75" si="183">W70</f>
        <v>4846171.58</v>
      </c>
      <c r="X75" s="629">
        <f t="shared" si="183"/>
        <v>4.639999999999997</v>
      </c>
      <c r="Y75" s="629">
        <f t="shared" ref="Y75:Z75" si="184">Y70</f>
        <v>4828278.8</v>
      </c>
      <c r="Z75" s="629">
        <f t="shared" si="184"/>
        <v>4.6399999999999979</v>
      </c>
      <c r="AA75" s="629">
        <f t="shared" ref="AA75:AB75" si="185">AA70</f>
        <v>4731292.3899999997</v>
      </c>
      <c r="AB75" s="629">
        <f t="shared" si="185"/>
        <v>4.5399999999999983</v>
      </c>
      <c r="AC75" s="629">
        <f t="shared" ref="AC75:AD75" si="186">AC70</f>
        <v>4733814.1700000009</v>
      </c>
      <c r="AD75" s="629">
        <f t="shared" si="186"/>
        <v>4.5399999999999983</v>
      </c>
      <c r="AE75" s="629">
        <f t="shared" ref="AE75:AF75" si="187">AE70</f>
        <v>4741379.4800000004</v>
      </c>
      <c r="AF75" s="629">
        <f t="shared" si="187"/>
        <v>4.5399999999999983</v>
      </c>
      <c r="AG75" s="629">
        <f t="shared" ref="AG75:AH75" si="188">AG70</f>
        <v>4707008.5599999996</v>
      </c>
      <c r="AH75" s="629">
        <f t="shared" si="188"/>
        <v>4.4999999999999991</v>
      </c>
      <c r="AI75" s="629">
        <f t="shared" ref="AI75:AJ75" si="189">AI70</f>
        <v>4709530.3299999991</v>
      </c>
      <c r="AJ75" s="629">
        <f t="shared" si="189"/>
        <v>4.5099999999999989</v>
      </c>
      <c r="AK75" s="629">
        <f t="shared" ref="AK75:AL75" si="190">AK70</f>
        <v>4712031.2699999977</v>
      </c>
      <c r="AL75" s="629">
        <f t="shared" si="190"/>
        <v>4.5099999999999989</v>
      </c>
      <c r="AM75" s="629">
        <f t="shared" ref="AM75:AN75" si="191">AM70</f>
        <v>4714532.1399999978</v>
      </c>
      <c r="AN75" s="629">
        <f t="shared" si="191"/>
        <v>4.4999999999999982</v>
      </c>
      <c r="AO75" s="629">
        <f t="shared" ref="AO75:AP75" si="192">AO70</f>
        <v>4711812.2899999972</v>
      </c>
      <c r="AP75" s="629">
        <f t="shared" si="192"/>
        <v>4.4899999999999984</v>
      </c>
      <c r="AQ75" s="629">
        <f t="shared" ref="AQ75:AR75" si="193">AQ70</f>
        <v>4714313.1899999976</v>
      </c>
      <c r="AR75" s="629">
        <f t="shared" si="193"/>
        <v>4.4899999999999984</v>
      </c>
      <c r="AS75" s="629">
        <f t="shared" ref="AS75:AT75" si="194">AS70</f>
        <v>4564812.6399999987</v>
      </c>
      <c r="AT75" s="629">
        <f t="shared" si="194"/>
        <v>4.3599999999999985</v>
      </c>
      <c r="AU75" s="629">
        <f t="shared" ref="AU75:AV75" si="195">AU70</f>
        <v>4662603.6899999995</v>
      </c>
      <c r="AV75" s="629">
        <f t="shared" si="195"/>
        <v>4.4499999999999975</v>
      </c>
    </row>
    <row r="76" spans="1:48" ht="16.5" thickBot="1">
      <c r="A76" s="151"/>
      <c r="B76" s="152" t="s">
        <v>111</v>
      </c>
      <c r="C76" s="416">
        <f t="shared" ref="C76:D76" si="196">SUM(C71:C75)</f>
        <v>104632392.96000001</v>
      </c>
      <c r="D76" s="416">
        <f t="shared" si="196"/>
        <v>100</v>
      </c>
      <c r="E76" s="416">
        <f t="shared" ref="E76:F76" si="197">SUM(E71:E75)</f>
        <v>104615093.50999999</v>
      </c>
      <c r="F76" s="416">
        <f t="shared" si="197"/>
        <v>100</v>
      </c>
      <c r="G76" s="416">
        <f t="shared" ref="G76:H76" si="198">SUM(G71:G75)</f>
        <v>103961145.08000001</v>
      </c>
      <c r="H76" s="416">
        <f t="shared" si="198"/>
        <v>100</v>
      </c>
      <c r="I76" s="416">
        <f t="shared" ref="I76:J76" si="199">SUM(I71:I75)</f>
        <v>104121442.44</v>
      </c>
      <c r="J76" s="416">
        <f t="shared" si="199"/>
        <v>100.00000000000001</v>
      </c>
      <c r="K76" s="416">
        <f t="shared" ref="K76:L76" si="200">SUM(K71:K75)</f>
        <v>104220398.02000001</v>
      </c>
      <c r="L76" s="416">
        <f t="shared" si="200"/>
        <v>100</v>
      </c>
      <c r="M76" s="416">
        <f t="shared" ref="M76:N76" si="201">SUM(M71:M75)</f>
        <v>104071904.37000002</v>
      </c>
      <c r="N76" s="416">
        <f t="shared" si="201"/>
        <v>100</v>
      </c>
      <c r="O76" s="416">
        <f t="shared" ref="O76:P76" si="202">SUM(O71:O75)</f>
        <v>104136170.98999999</v>
      </c>
      <c r="P76" s="416">
        <f t="shared" si="202"/>
        <v>99.99</v>
      </c>
      <c r="Q76" s="416">
        <f t="shared" ref="Q76:R76" si="203">SUM(Q71:Q75)</f>
        <v>104254847.00999999</v>
      </c>
      <c r="R76" s="416">
        <f t="shared" si="203"/>
        <v>100</v>
      </c>
      <c r="S76" s="416">
        <f t="shared" ref="S76:T76" si="204">SUM(S71:S75)</f>
        <v>104206202.74000001</v>
      </c>
      <c r="T76" s="416">
        <f t="shared" si="204"/>
        <v>100</v>
      </c>
      <c r="U76" s="416">
        <f t="shared" ref="U76:V76" si="205">SUM(U71:U75)</f>
        <v>104385449.05</v>
      </c>
      <c r="V76" s="416">
        <f t="shared" si="205"/>
        <v>99.999999999999986</v>
      </c>
      <c r="W76" s="416">
        <f t="shared" ref="W76:X76" si="206">SUM(W71:W75)</f>
        <v>104324306.24000001</v>
      </c>
      <c r="X76" s="416">
        <f t="shared" si="206"/>
        <v>100</v>
      </c>
      <c r="Y76" s="416">
        <f t="shared" ref="Y76:Z76" si="207">SUM(Y71:Y75)</f>
        <v>104205145.94</v>
      </c>
      <c r="Z76" s="416">
        <f t="shared" si="207"/>
        <v>100.00000000000001</v>
      </c>
      <c r="AA76" s="416">
        <f t="shared" ref="AA76:AB76" si="208">SUM(AA71:AA75)</f>
        <v>104156684.56999999</v>
      </c>
      <c r="AB76" s="416">
        <f t="shared" si="208"/>
        <v>99.999999999999986</v>
      </c>
      <c r="AC76" s="416">
        <f t="shared" ref="AC76:AD76" si="209">SUM(AC71:AC75)</f>
        <v>104260392.94</v>
      </c>
      <c r="AD76" s="416">
        <f t="shared" si="209"/>
        <v>100</v>
      </c>
      <c r="AE76" s="416">
        <f t="shared" ref="AE76:AF76" si="210">SUM(AE71:AE75)</f>
        <v>104348638.21000001</v>
      </c>
      <c r="AF76" s="416">
        <f t="shared" si="210"/>
        <v>99.999999999999986</v>
      </c>
      <c r="AG76" s="416">
        <f t="shared" ref="AG76:AH76" si="211">SUM(AG71:AG75)</f>
        <v>104393319.68000001</v>
      </c>
      <c r="AH76" s="416">
        <f t="shared" si="211"/>
        <v>99.999999999999986</v>
      </c>
      <c r="AI76" s="416">
        <f t="shared" ref="AI76:AJ76" si="212">SUM(AI71:AI75)</f>
        <v>104355827.80000001</v>
      </c>
      <c r="AJ76" s="416">
        <f t="shared" si="212"/>
        <v>100</v>
      </c>
      <c r="AK76" s="416">
        <f t="shared" ref="AK76:AL76" si="213">SUM(AK71:AK75)</f>
        <v>104326375.34</v>
      </c>
      <c r="AL76" s="416">
        <f t="shared" si="213"/>
        <v>100</v>
      </c>
      <c r="AM76" s="416">
        <f t="shared" ref="AM76:AN76" si="214">SUM(AM71:AM75)</f>
        <v>104434323.36</v>
      </c>
      <c r="AN76" s="416">
        <f t="shared" si="214"/>
        <v>100.00999999999999</v>
      </c>
      <c r="AO76" s="416">
        <f t="shared" ref="AO76:AP76" si="215">SUM(AO71:AO75)</f>
        <v>104590979.25</v>
      </c>
      <c r="AP76" s="416">
        <f t="shared" si="215"/>
        <v>100</v>
      </c>
      <c r="AQ76" s="416">
        <f t="shared" ref="AQ76:AR76" si="216">SUM(AQ71:AQ75)</f>
        <v>104489257.72</v>
      </c>
      <c r="AR76" s="416">
        <f t="shared" si="216"/>
        <v>99.99</v>
      </c>
      <c r="AS76" s="416">
        <f t="shared" ref="AS76:AT76" si="217">SUM(AS71:AS75)</f>
        <v>104531664.73</v>
      </c>
      <c r="AT76" s="416">
        <f t="shared" si="217"/>
        <v>100.00999999999999</v>
      </c>
      <c r="AU76" s="416">
        <f t="shared" ref="AU76:AV76" si="218">SUM(AU71:AU75)</f>
        <v>104758493.67999999</v>
      </c>
      <c r="AV76" s="416">
        <f t="shared" si="218"/>
        <v>100</v>
      </c>
    </row>
  </sheetData>
  <mergeCells count="38">
    <mergeCell ref="AO1:AP1"/>
    <mergeCell ref="AQ1:AR1"/>
    <mergeCell ref="AM1:AN1"/>
    <mergeCell ref="S1:T1"/>
    <mergeCell ref="W1:X1"/>
    <mergeCell ref="U1:V1"/>
    <mergeCell ref="AK1:AL1"/>
    <mergeCell ref="AI1:AJ1"/>
    <mergeCell ref="AE1:AF1"/>
    <mergeCell ref="AG1:AH1"/>
    <mergeCell ref="A75:B75"/>
    <mergeCell ref="A22:B22"/>
    <mergeCell ref="A36:B36"/>
    <mergeCell ref="A37:B37"/>
    <mergeCell ref="A38:B38"/>
    <mergeCell ref="A53:B53"/>
    <mergeCell ref="A58:B58"/>
    <mergeCell ref="A63:B63"/>
    <mergeCell ref="A64:B64"/>
    <mergeCell ref="A66:B66"/>
    <mergeCell ref="A69:B69"/>
    <mergeCell ref="A70:B70"/>
    <mergeCell ref="AU1:AV1"/>
    <mergeCell ref="A18:B18"/>
    <mergeCell ref="AA1:AB1"/>
    <mergeCell ref="AC1:AD1"/>
    <mergeCell ref="A9:B9"/>
    <mergeCell ref="A15:B15"/>
    <mergeCell ref="K1:L1"/>
    <mergeCell ref="E1:F1"/>
    <mergeCell ref="Q1:R1"/>
    <mergeCell ref="O1:P1"/>
    <mergeCell ref="G1:H1"/>
    <mergeCell ref="I1:J1"/>
    <mergeCell ref="M1:N1"/>
    <mergeCell ref="Y1:Z1"/>
    <mergeCell ref="AS1:AT1"/>
    <mergeCell ref="C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T78"/>
  <sheetViews>
    <sheetView topLeftCell="AJ70" zoomScale="120" zoomScaleNormal="120" workbookViewId="0">
      <selection activeCell="AU70" sqref="AU1:AV1048576"/>
    </sheetView>
  </sheetViews>
  <sheetFormatPr defaultColWidth="14.85546875" defaultRowHeight="15.75"/>
  <cols>
    <col min="1" max="1" width="38.28515625" style="56" bestFit="1" customWidth="1"/>
    <col min="2" max="2" width="23.42578125" style="56" customWidth="1"/>
    <col min="3" max="3" width="24.42578125" style="630" customWidth="1"/>
    <col min="4" max="4" width="12.5703125" style="692" customWidth="1"/>
    <col min="5" max="5" width="24.42578125" style="630" customWidth="1"/>
    <col min="6" max="6" width="12.5703125" style="692" customWidth="1"/>
    <col min="7" max="7" width="24.42578125" style="630" customWidth="1"/>
    <col min="8" max="8" width="12.5703125" style="692" customWidth="1"/>
    <col min="9" max="9" width="24.42578125" style="630" customWidth="1"/>
    <col min="10" max="10" width="12.5703125" style="692" customWidth="1"/>
    <col min="11" max="11" width="24.42578125" style="630" customWidth="1"/>
    <col min="12" max="12" width="12.5703125" style="692" customWidth="1"/>
    <col min="13" max="13" width="24.42578125" style="630" customWidth="1"/>
    <col min="14" max="14" width="12.5703125" style="692" customWidth="1"/>
    <col min="15" max="15" width="24.42578125" style="630" customWidth="1"/>
    <col min="16" max="16" width="12.5703125" style="692" customWidth="1"/>
    <col min="17" max="17" width="24.42578125" style="630" customWidth="1"/>
    <col min="18" max="18" width="12.5703125" style="692" customWidth="1"/>
    <col min="19" max="19" width="24.42578125" style="630" customWidth="1"/>
    <col min="20" max="20" width="12.5703125" style="692" customWidth="1"/>
    <col min="21" max="21" width="24.42578125" style="630" customWidth="1"/>
    <col min="22" max="22" width="12.5703125" style="692" customWidth="1"/>
    <col min="23" max="23" width="24.42578125" style="630" customWidth="1"/>
    <col min="24" max="24" width="12.5703125" style="692" customWidth="1"/>
    <col min="25" max="25" width="24.42578125" style="630" customWidth="1"/>
    <col min="26" max="26" width="12.5703125" style="692" customWidth="1"/>
    <col min="27" max="27" width="24.42578125" style="294" customWidth="1"/>
    <col min="28" max="28" width="12.5703125" style="944" customWidth="1"/>
    <col min="29" max="29" width="24.42578125" style="294" customWidth="1"/>
    <col min="30" max="30" width="12.5703125" style="944" customWidth="1"/>
    <col min="31" max="31" width="24.42578125" style="294" customWidth="1"/>
    <col min="32" max="32" width="12.5703125" style="944" customWidth="1"/>
    <col min="33" max="33" width="24.42578125" style="294" customWidth="1"/>
    <col min="34" max="34" width="12.5703125" style="944" customWidth="1"/>
    <col min="35" max="35" width="24.42578125" style="294" customWidth="1"/>
    <col min="36" max="36" width="12.5703125" style="944" customWidth="1"/>
    <col min="37" max="37" width="24.42578125" style="294" customWidth="1"/>
    <col min="38" max="38" width="12.5703125" style="944" customWidth="1"/>
    <col min="39" max="39" width="24.42578125" style="294" customWidth="1"/>
    <col min="40" max="40" width="12.5703125" style="944" customWidth="1"/>
    <col min="41" max="41" width="24.42578125" style="294" customWidth="1"/>
    <col min="42" max="42" width="12.5703125" style="944" customWidth="1"/>
    <col min="43" max="43" width="24.42578125" style="294" customWidth="1"/>
    <col min="44" max="44" width="12.5703125" style="944" customWidth="1"/>
    <col min="45" max="45" width="24.42578125" style="294" hidden="1" customWidth="1"/>
    <col min="46" max="46" width="12.5703125" style="944" hidden="1" customWidth="1"/>
  </cols>
  <sheetData>
    <row r="1" spans="1:46">
      <c r="C1" s="1035">
        <v>1</v>
      </c>
      <c r="D1" s="1036"/>
      <c r="E1" s="1035">
        <v>4</v>
      </c>
      <c r="F1" s="1036"/>
      <c r="G1" s="1035">
        <v>5</v>
      </c>
      <c r="H1" s="1036"/>
      <c r="I1" s="1035">
        <v>6</v>
      </c>
      <c r="J1" s="1036"/>
      <c r="K1" s="1035">
        <v>7</v>
      </c>
      <c r="L1" s="1036"/>
      <c r="M1" s="1035">
        <v>8</v>
      </c>
      <c r="N1" s="1036"/>
      <c r="O1" s="1035">
        <v>11</v>
      </c>
      <c r="P1" s="1036"/>
      <c r="Q1" s="1035">
        <v>12</v>
      </c>
      <c r="R1" s="1036"/>
      <c r="S1" s="1035">
        <v>13</v>
      </c>
      <c r="T1" s="1036"/>
      <c r="U1" s="1035">
        <v>14</v>
      </c>
      <c r="V1" s="1036"/>
      <c r="W1" s="1035">
        <v>15</v>
      </c>
      <c r="X1" s="1036"/>
      <c r="Y1" s="1035">
        <v>15</v>
      </c>
      <c r="Z1" s="1036"/>
      <c r="AA1" s="1054">
        <v>19</v>
      </c>
      <c r="AB1" s="1055"/>
      <c r="AC1" s="1054">
        <v>20</v>
      </c>
      <c r="AD1" s="1055"/>
      <c r="AE1" s="1054">
        <v>21</v>
      </c>
      <c r="AF1" s="1055"/>
      <c r="AG1" s="1054">
        <v>22</v>
      </c>
      <c r="AH1" s="1055"/>
      <c r="AI1" s="1054">
        <v>25</v>
      </c>
      <c r="AJ1" s="1055"/>
      <c r="AK1" s="1054">
        <v>26</v>
      </c>
      <c r="AL1" s="1055"/>
      <c r="AM1" s="1054">
        <v>27</v>
      </c>
      <c r="AN1" s="1055"/>
      <c r="AO1" s="1054">
        <v>28</v>
      </c>
      <c r="AP1" s="1055"/>
      <c r="AQ1" s="1054">
        <v>29</v>
      </c>
      <c r="AR1" s="1055"/>
      <c r="AS1" s="1054">
        <v>31</v>
      </c>
      <c r="AT1" s="1055"/>
    </row>
    <row r="2" spans="1:46">
      <c r="A2" s="418" t="s">
        <v>129</v>
      </c>
      <c r="B2" s="58" t="s">
        <v>15</v>
      </c>
      <c r="C2" s="758">
        <v>6524304</v>
      </c>
      <c r="D2" s="593">
        <v>6.23</v>
      </c>
      <c r="E2" s="758">
        <v>6525938.4299999997</v>
      </c>
      <c r="F2" s="593">
        <v>6.22</v>
      </c>
      <c r="G2" s="757">
        <v>6528097.8899999997</v>
      </c>
      <c r="H2" s="798">
        <v>6.22</v>
      </c>
      <c r="I2" s="853">
        <v>6547072.5</v>
      </c>
      <c r="J2" s="852">
        <v>6.27</v>
      </c>
      <c r="K2" s="856">
        <v>6549910.5</v>
      </c>
      <c r="L2" s="859">
        <v>6.27</v>
      </c>
      <c r="M2" s="856">
        <v>6552813</v>
      </c>
      <c r="N2" s="859">
        <v>6.28</v>
      </c>
      <c r="O2" s="856">
        <v>6561391.5</v>
      </c>
      <c r="P2" s="859">
        <v>6.28</v>
      </c>
      <c r="Q2" s="887">
        <v>6547602.04</v>
      </c>
      <c r="R2" s="841">
        <v>6.26</v>
      </c>
      <c r="S2" s="887">
        <v>6576291</v>
      </c>
      <c r="T2" s="841">
        <v>6.28</v>
      </c>
      <c r="U2" s="885">
        <v>6579129</v>
      </c>
      <c r="V2" s="859">
        <v>6.28</v>
      </c>
      <c r="W2" s="885">
        <v>6581902.5</v>
      </c>
      <c r="X2" s="859">
        <v>6.28</v>
      </c>
      <c r="Y2" s="885">
        <v>6590352</v>
      </c>
      <c r="Z2" s="859">
        <v>6.29</v>
      </c>
      <c r="AA2" s="891">
        <v>6568847.0599999996</v>
      </c>
      <c r="AB2" s="892">
        <v>6.27</v>
      </c>
      <c r="AC2" s="894">
        <v>6593770.5</v>
      </c>
      <c r="AD2" s="895">
        <v>6.29</v>
      </c>
      <c r="AE2" s="894">
        <v>6596608.5</v>
      </c>
      <c r="AF2" s="895">
        <v>6.29</v>
      </c>
      <c r="AG2" s="891">
        <v>6581518.0800000001</v>
      </c>
      <c r="AH2" s="892">
        <v>6.27</v>
      </c>
      <c r="AI2" s="891">
        <v>6564970.6100000003</v>
      </c>
      <c r="AJ2" s="892">
        <v>6.25</v>
      </c>
      <c r="AK2" s="894">
        <v>6604800</v>
      </c>
      <c r="AL2" s="895">
        <v>6.28</v>
      </c>
      <c r="AM2" s="894">
        <v>6607638</v>
      </c>
      <c r="AN2" s="895">
        <v>6.29</v>
      </c>
      <c r="AO2" s="894">
        <v>6610476</v>
      </c>
      <c r="AP2" s="895">
        <v>6.3</v>
      </c>
      <c r="AQ2" s="894">
        <v>6618087</v>
      </c>
      <c r="AR2" s="895">
        <v>6.29</v>
      </c>
      <c r="AS2" s="894">
        <v>6623376</v>
      </c>
      <c r="AT2" s="895">
        <v>6.29</v>
      </c>
    </row>
    <row r="3" spans="1:46">
      <c r="A3" s="418" t="s">
        <v>123</v>
      </c>
      <c r="B3" s="58" t="s">
        <v>15</v>
      </c>
      <c r="C3" s="758">
        <v>5035363.96</v>
      </c>
      <c r="D3" s="593">
        <v>4.8099999999999996</v>
      </c>
      <c r="E3" s="757">
        <v>5042074.88</v>
      </c>
      <c r="F3" s="798">
        <v>4.8</v>
      </c>
      <c r="G3" s="758">
        <v>5052424.82</v>
      </c>
      <c r="H3" s="593">
        <v>4.8099999999999996</v>
      </c>
      <c r="I3" s="854">
        <v>5054646.04</v>
      </c>
      <c r="J3" s="852">
        <v>4.84</v>
      </c>
      <c r="K3" s="858">
        <v>5056867.26</v>
      </c>
      <c r="L3" s="859">
        <v>4.84</v>
      </c>
      <c r="M3" s="858">
        <v>5059088.4800000004</v>
      </c>
      <c r="N3" s="859">
        <v>4.84</v>
      </c>
      <c r="O3" s="858">
        <v>5065752.1399999997</v>
      </c>
      <c r="P3" s="859">
        <v>4.84</v>
      </c>
      <c r="Q3" s="858">
        <v>5078181.5199999996</v>
      </c>
      <c r="R3" s="859">
        <v>4.8600000000000003</v>
      </c>
      <c r="S3" s="858">
        <v>5080355.4800000004</v>
      </c>
      <c r="T3" s="859">
        <v>4.8499999999999996</v>
      </c>
      <c r="U3" s="886">
        <v>5082529.4400000004</v>
      </c>
      <c r="V3" s="859">
        <v>4.8499999999999996</v>
      </c>
      <c r="W3" s="886">
        <v>5084750.66</v>
      </c>
      <c r="X3" s="859">
        <v>4.8499999999999996</v>
      </c>
      <c r="Y3" s="886">
        <v>5059866.8499999996</v>
      </c>
      <c r="Z3" s="859">
        <v>4.83</v>
      </c>
      <c r="AA3" s="893">
        <v>5062037.03</v>
      </c>
      <c r="AB3" s="892">
        <v>4.83</v>
      </c>
      <c r="AC3" s="896">
        <v>5064112.6900000004</v>
      </c>
      <c r="AD3" s="895">
        <v>4.83</v>
      </c>
      <c r="AE3" s="893">
        <v>5066330.13</v>
      </c>
      <c r="AF3" s="892">
        <v>4.83</v>
      </c>
      <c r="AG3" s="896">
        <v>5095100.5999999996</v>
      </c>
      <c r="AH3" s="895">
        <v>4.8499999999999996</v>
      </c>
      <c r="AI3" s="896">
        <v>5101764.26</v>
      </c>
      <c r="AJ3" s="895">
        <v>4.8600000000000003</v>
      </c>
      <c r="AK3" s="896">
        <v>5103229.32</v>
      </c>
      <c r="AL3" s="895">
        <v>4.8599999999999994</v>
      </c>
      <c r="AM3" s="896">
        <v>5105403.28</v>
      </c>
      <c r="AN3" s="895">
        <v>4.8600000000000003</v>
      </c>
      <c r="AO3" s="896">
        <v>5107624.5</v>
      </c>
      <c r="AP3" s="895">
        <v>4.8600000000000003</v>
      </c>
      <c r="AQ3" s="896">
        <v>5114429.9400000004</v>
      </c>
      <c r="AR3" s="895">
        <v>4.8600000000000003</v>
      </c>
      <c r="AS3" s="896">
        <v>5118588.82</v>
      </c>
      <c r="AT3" s="895">
        <v>4.8600000000000003</v>
      </c>
    </row>
    <row r="4" spans="1:46">
      <c r="A4" s="418" t="s">
        <v>115</v>
      </c>
      <c r="B4" s="58" t="s">
        <v>15</v>
      </c>
      <c r="C4" s="746">
        <v>9870312.0399999991</v>
      </c>
      <c r="D4" s="799">
        <v>9.43</v>
      </c>
      <c r="E4" s="746">
        <v>9881774.4100000001</v>
      </c>
      <c r="F4" s="799">
        <v>9.42</v>
      </c>
      <c r="G4" s="746">
        <v>9884942.8699999992</v>
      </c>
      <c r="H4" s="799">
        <v>9.41</v>
      </c>
      <c r="I4" s="856">
        <v>9888763.6600000001</v>
      </c>
      <c r="J4" s="855">
        <v>9.4700000000000006</v>
      </c>
      <c r="K4" s="856">
        <v>9892584.4499999993</v>
      </c>
      <c r="L4" s="859">
        <v>9.4600000000000009</v>
      </c>
      <c r="M4" s="856">
        <v>9896312.0500000007</v>
      </c>
      <c r="N4" s="859">
        <v>9.48</v>
      </c>
      <c r="O4" s="856">
        <v>9907681.2300000004</v>
      </c>
      <c r="P4" s="859">
        <v>9.48</v>
      </c>
      <c r="Q4" s="885">
        <v>9910104.1699999999</v>
      </c>
      <c r="R4" s="859">
        <v>9.48</v>
      </c>
      <c r="S4" s="885">
        <v>9913831.7699999996</v>
      </c>
      <c r="T4" s="859">
        <v>9.4600000000000009</v>
      </c>
      <c r="U4" s="885">
        <v>9917652.5600000005</v>
      </c>
      <c r="V4" s="859">
        <v>9.4700000000000006</v>
      </c>
      <c r="W4" s="885">
        <v>9921380.1600000001</v>
      </c>
      <c r="X4" s="859">
        <v>9.4700000000000006</v>
      </c>
      <c r="Y4" s="885">
        <v>9932656.1500000004</v>
      </c>
      <c r="Z4" s="859">
        <v>9.48</v>
      </c>
      <c r="AA4" s="894">
        <v>9942254.7200000007</v>
      </c>
      <c r="AB4" s="895">
        <v>9.48</v>
      </c>
      <c r="AC4" s="894">
        <v>9945982.3200000003</v>
      </c>
      <c r="AD4" s="895">
        <v>9.4700000000000006</v>
      </c>
      <c r="AE4" s="894">
        <v>9949709.9199999999</v>
      </c>
      <c r="AF4" s="895">
        <v>9.4700000000000006</v>
      </c>
      <c r="AG4" s="894">
        <v>9953344.3300000001</v>
      </c>
      <c r="AH4" s="895">
        <v>9.48</v>
      </c>
      <c r="AI4" s="894">
        <v>9964433.9399999995</v>
      </c>
      <c r="AJ4" s="895">
        <v>9.49</v>
      </c>
      <c r="AK4" s="894">
        <v>9959588.0600000005</v>
      </c>
      <c r="AL4" s="895">
        <v>9.4700000000000006</v>
      </c>
      <c r="AM4" s="894">
        <v>9963408.8499999996</v>
      </c>
      <c r="AN4" s="895">
        <v>9.48</v>
      </c>
      <c r="AO4" s="894">
        <v>9967229.6400000006</v>
      </c>
      <c r="AP4" s="895">
        <v>9.49</v>
      </c>
      <c r="AQ4" s="894">
        <v>9971143.6199999992</v>
      </c>
      <c r="AR4" s="895">
        <v>9.4700000000000006</v>
      </c>
      <c r="AS4" s="894">
        <v>9978598.8200000003</v>
      </c>
      <c r="AT4" s="895">
        <v>9.4700000000000006</v>
      </c>
    </row>
    <row r="5" spans="1:46">
      <c r="A5" s="418" t="s">
        <v>118</v>
      </c>
      <c r="B5" s="58" t="s">
        <v>15</v>
      </c>
      <c r="C5" s="745">
        <v>7909590</v>
      </c>
      <c r="D5" s="799">
        <v>7.55</v>
      </c>
      <c r="E5" s="756">
        <v>7964951.2800000003</v>
      </c>
      <c r="F5" s="818">
        <v>7.59</v>
      </c>
      <c r="G5" s="756">
        <v>7976756.5800000001</v>
      </c>
      <c r="H5" s="818">
        <v>7.6</v>
      </c>
      <c r="I5" s="844">
        <v>7925927.8799999999</v>
      </c>
      <c r="J5" s="841">
        <v>7.59</v>
      </c>
      <c r="K5" s="844">
        <v>7982193.1799999997</v>
      </c>
      <c r="L5" s="841">
        <v>7.64</v>
      </c>
      <c r="M5" s="844">
        <v>7935798</v>
      </c>
      <c r="N5" s="841">
        <v>7.6</v>
      </c>
      <c r="O5" s="844">
        <v>7945626</v>
      </c>
      <c r="P5" s="841">
        <v>7.6</v>
      </c>
      <c r="Q5" s="886">
        <v>7950930</v>
      </c>
      <c r="R5" s="859">
        <v>7.61</v>
      </c>
      <c r="S5" s="886">
        <v>7954206</v>
      </c>
      <c r="T5" s="859">
        <v>7.59</v>
      </c>
      <c r="U5" s="886">
        <v>7957404</v>
      </c>
      <c r="V5" s="859">
        <v>7.59</v>
      </c>
      <c r="W5" s="886">
        <v>7960680</v>
      </c>
      <c r="X5" s="859">
        <v>7.6</v>
      </c>
      <c r="Y5" s="886">
        <v>7970352</v>
      </c>
      <c r="Z5" s="859">
        <v>7.61</v>
      </c>
      <c r="AA5" s="896">
        <v>7978854</v>
      </c>
      <c r="AB5" s="895">
        <v>7.61</v>
      </c>
      <c r="AC5" s="896">
        <v>7982052</v>
      </c>
      <c r="AD5" s="895">
        <v>7.61</v>
      </c>
      <c r="AE5" s="896">
        <v>7985328</v>
      </c>
      <c r="AF5" s="895">
        <v>7.61</v>
      </c>
      <c r="AG5" s="896">
        <v>7988604</v>
      </c>
      <c r="AH5" s="895">
        <v>7.61</v>
      </c>
      <c r="AI5" s="896">
        <v>7998354</v>
      </c>
      <c r="AJ5" s="895">
        <v>7.62</v>
      </c>
      <c r="AK5" s="896">
        <v>7989150</v>
      </c>
      <c r="AL5" s="895">
        <v>7.6</v>
      </c>
      <c r="AM5" s="896">
        <v>7992348</v>
      </c>
      <c r="AN5" s="895">
        <v>7.6</v>
      </c>
      <c r="AO5" s="896">
        <v>7995624</v>
      </c>
      <c r="AP5" s="895">
        <v>7.62</v>
      </c>
      <c r="AQ5" s="896">
        <v>8000850</v>
      </c>
      <c r="AR5" s="895">
        <v>7.6</v>
      </c>
      <c r="AS5" s="896">
        <v>8007090</v>
      </c>
      <c r="AT5" s="895">
        <v>7.6</v>
      </c>
    </row>
    <row r="6" spans="1:46">
      <c r="A6" s="477" t="s">
        <v>124</v>
      </c>
      <c r="B6" s="58" t="s">
        <v>15</v>
      </c>
      <c r="C6" s="746">
        <v>7983373.29</v>
      </c>
      <c r="D6" s="799">
        <v>7.62</v>
      </c>
      <c r="E6" s="746">
        <v>8053506.4800000004</v>
      </c>
      <c r="F6" s="799">
        <v>7.68</v>
      </c>
      <c r="G6" s="746">
        <v>8072774.0800000001</v>
      </c>
      <c r="H6" s="799">
        <v>7.69</v>
      </c>
      <c r="I6" s="858">
        <v>8076364.8600000003</v>
      </c>
      <c r="J6" s="857">
        <v>7.73</v>
      </c>
      <c r="K6" s="858">
        <v>8079955.6399999997</v>
      </c>
      <c r="L6" s="859">
        <v>7.73</v>
      </c>
      <c r="M6" s="858">
        <v>7973150.0800000001</v>
      </c>
      <c r="N6" s="859">
        <v>7.64</v>
      </c>
      <c r="O6" s="858">
        <v>8018664.5199999996</v>
      </c>
      <c r="P6" s="859">
        <v>7.67</v>
      </c>
      <c r="Q6" s="844">
        <v>8033456.79</v>
      </c>
      <c r="R6" s="841">
        <v>7.69</v>
      </c>
      <c r="S6" s="844">
        <v>8129525.9199999999</v>
      </c>
      <c r="T6" s="841">
        <v>7.76</v>
      </c>
      <c r="U6" s="886">
        <v>8133116.7000000002</v>
      </c>
      <c r="V6" s="859">
        <v>7.76</v>
      </c>
      <c r="W6" s="886">
        <v>8136707.4800000004</v>
      </c>
      <c r="X6" s="859">
        <v>7.76</v>
      </c>
      <c r="Y6" s="886">
        <v>8043473.3200000003</v>
      </c>
      <c r="Z6" s="859">
        <v>7.67</v>
      </c>
      <c r="AA6" s="896">
        <v>8131803</v>
      </c>
      <c r="AB6" s="895">
        <v>7.76</v>
      </c>
      <c r="AC6" s="896">
        <v>8135393.7800000003</v>
      </c>
      <c r="AD6" s="895">
        <v>7.76</v>
      </c>
      <c r="AE6" s="896">
        <v>8138984.5599999996</v>
      </c>
      <c r="AF6" s="895">
        <v>7.76</v>
      </c>
      <c r="AG6" s="896">
        <v>8142575.3399999999</v>
      </c>
      <c r="AH6" s="895">
        <v>7.76</v>
      </c>
      <c r="AI6" s="896">
        <v>8153347.6799999997</v>
      </c>
      <c r="AJ6" s="895">
        <v>7.76</v>
      </c>
      <c r="AK6" s="896">
        <v>8177957.6600000001</v>
      </c>
      <c r="AL6" s="895">
        <v>7.78</v>
      </c>
      <c r="AM6" s="896">
        <v>8181548.4400000004</v>
      </c>
      <c r="AN6" s="895">
        <v>7.78</v>
      </c>
      <c r="AO6" s="896">
        <v>8185051.6399999997</v>
      </c>
      <c r="AP6" s="895">
        <v>7.8</v>
      </c>
      <c r="AQ6" s="896">
        <v>8197137.6799999997</v>
      </c>
      <c r="AR6" s="895">
        <v>7.79</v>
      </c>
      <c r="AS6" s="896">
        <v>8203968.9199999999</v>
      </c>
      <c r="AT6" s="895">
        <v>7.78</v>
      </c>
    </row>
    <row r="7" spans="1:46">
      <c r="A7" s="418" t="s">
        <v>130</v>
      </c>
      <c r="B7" s="58" t="s">
        <v>15</v>
      </c>
      <c r="C7" s="746">
        <v>8274065</v>
      </c>
      <c r="D7" s="799">
        <v>7.9</v>
      </c>
      <c r="E7" s="746">
        <v>8284888</v>
      </c>
      <c r="F7" s="799">
        <v>7.9</v>
      </c>
      <c r="G7" s="746">
        <v>8303216</v>
      </c>
      <c r="H7" s="799">
        <v>7.91</v>
      </c>
      <c r="I7" s="858">
        <v>8306929</v>
      </c>
      <c r="J7" s="857">
        <v>7.96</v>
      </c>
      <c r="K7" s="858">
        <v>8310563</v>
      </c>
      <c r="L7" s="859">
        <v>7.95</v>
      </c>
      <c r="M7" s="858">
        <v>8314197</v>
      </c>
      <c r="N7" s="859">
        <v>7.97</v>
      </c>
      <c r="O7" s="858">
        <v>8325178</v>
      </c>
      <c r="P7" s="859">
        <v>7.97</v>
      </c>
      <c r="Q7" s="858">
        <v>8356620</v>
      </c>
      <c r="R7" s="859">
        <v>8</v>
      </c>
      <c r="S7" s="858">
        <v>8360333</v>
      </c>
      <c r="T7" s="859">
        <v>7.98</v>
      </c>
      <c r="U7" s="886">
        <v>8363967</v>
      </c>
      <c r="V7" s="859">
        <v>7.98</v>
      </c>
      <c r="W7" s="886">
        <v>8367680</v>
      </c>
      <c r="X7" s="859">
        <v>7.98</v>
      </c>
      <c r="Y7" s="886">
        <v>8378661</v>
      </c>
      <c r="Z7" s="859">
        <v>8</v>
      </c>
      <c r="AA7" s="896">
        <v>8364046</v>
      </c>
      <c r="AB7" s="895">
        <v>7.98</v>
      </c>
      <c r="AC7" s="896">
        <v>8367680</v>
      </c>
      <c r="AD7" s="895">
        <v>7.98</v>
      </c>
      <c r="AE7" s="896">
        <v>8371393</v>
      </c>
      <c r="AF7" s="895">
        <v>7.98</v>
      </c>
      <c r="AG7" s="896">
        <v>8375027</v>
      </c>
      <c r="AH7" s="895">
        <v>7.98</v>
      </c>
      <c r="AI7" s="896">
        <v>8386087</v>
      </c>
      <c r="AJ7" s="895">
        <v>7.99</v>
      </c>
      <c r="AK7" s="896">
        <v>8411999</v>
      </c>
      <c r="AL7" s="895">
        <v>8</v>
      </c>
      <c r="AM7" s="896">
        <v>8415633</v>
      </c>
      <c r="AN7" s="895">
        <v>8</v>
      </c>
      <c r="AO7" s="896">
        <v>8320533.5899999999</v>
      </c>
      <c r="AP7" s="895">
        <v>7.93</v>
      </c>
      <c r="AQ7" s="896">
        <v>8430722</v>
      </c>
      <c r="AR7" s="895">
        <v>8.01</v>
      </c>
      <c r="AS7" s="896">
        <v>8437753</v>
      </c>
      <c r="AT7" s="895">
        <v>8.01</v>
      </c>
    </row>
    <row r="8" spans="1:46">
      <c r="A8" s="418" t="s">
        <v>119</v>
      </c>
      <c r="B8" s="58" t="s">
        <v>15</v>
      </c>
      <c r="C8" s="746">
        <v>5423071.5</v>
      </c>
      <c r="D8" s="799">
        <v>5.18</v>
      </c>
      <c r="E8" s="746">
        <v>5430051</v>
      </c>
      <c r="F8" s="799">
        <v>5.18</v>
      </c>
      <c r="G8" s="746">
        <v>5440446</v>
      </c>
      <c r="H8" s="799">
        <v>5.18</v>
      </c>
      <c r="I8" s="858">
        <v>5442822</v>
      </c>
      <c r="J8" s="857">
        <v>5.21</v>
      </c>
      <c r="K8" s="858">
        <v>5445148.5</v>
      </c>
      <c r="L8" s="859">
        <v>5.21</v>
      </c>
      <c r="M8" s="858">
        <v>5447475</v>
      </c>
      <c r="N8" s="859">
        <v>5.22</v>
      </c>
      <c r="O8" s="858">
        <v>5454553.5</v>
      </c>
      <c r="P8" s="859">
        <v>5.22</v>
      </c>
      <c r="Q8" s="844">
        <v>5370198.0800000001</v>
      </c>
      <c r="R8" s="841">
        <v>5.14</v>
      </c>
      <c r="S8" s="844">
        <v>5476284</v>
      </c>
      <c r="T8" s="841">
        <v>5.23</v>
      </c>
      <c r="U8" s="886">
        <v>5478660</v>
      </c>
      <c r="V8" s="859">
        <v>5.23</v>
      </c>
      <c r="W8" s="886">
        <v>5481036</v>
      </c>
      <c r="X8" s="859">
        <v>5.23</v>
      </c>
      <c r="Y8" s="886">
        <v>5488164</v>
      </c>
      <c r="Z8" s="859">
        <v>5.24</v>
      </c>
      <c r="AA8" s="896">
        <v>5479699.5</v>
      </c>
      <c r="AB8" s="895">
        <v>5.23</v>
      </c>
      <c r="AC8" s="896">
        <v>5482075.5</v>
      </c>
      <c r="AD8" s="895">
        <v>5.23</v>
      </c>
      <c r="AE8" s="896">
        <v>5484402</v>
      </c>
      <c r="AF8" s="895">
        <v>5.23</v>
      </c>
      <c r="AG8" s="896">
        <v>5486778</v>
      </c>
      <c r="AH8" s="895">
        <v>5.23</v>
      </c>
      <c r="AI8" s="896">
        <v>5493807</v>
      </c>
      <c r="AJ8" s="895">
        <v>5.23</v>
      </c>
      <c r="AK8" s="896">
        <v>5512122</v>
      </c>
      <c r="AL8" s="895">
        <v>5.24</v>
      </c>
      <c r="AM8" s="896">
        <v>5081323.5</v>
      </c>
      <c r="AN8" s="895">
        <v>4.83</v>
      </c>
      <c r="AO8" s="896">
        <v>5009700.96</v>
      </c>
      <c r="AP8" s="895">
        <v>4.7699999999999996</v>
      </c>
      <c r="AQ8" s="896">
        <v>5089788</v>
      </c>
      <c r="AR8" s="895">
        <v>4.84</v>
      </c>
      <c r="AS8" s="896">
        <v>5094045</v>
      </c>
      <c r="AT8" s="895">
        <v>4.83</v>
      </c>
    </row>
    <row r="9" spans="1:46" ht="16.5" thickBot="1">
      <c r="A9" s="1020" t="s">
        <v>113</v>
      </c>
      <c r="B9" s="1048"/>
      <c r="C9" s="444">
        <f t="shared" ref="C9:D9" si="0">SUM(C2:C8)</f>
        <v>51020079.789999999</v>
      </c>
      <c r="D9" s="639">
        <f t="shared" si="0"/>
        <v>48.72</v>
      </c>
      <c r="E9" s="444">
        <f t="shared" ref="E9:F9" si="1">SUM(E2:E8)</f>
        <v>51183184.480000004</v>
      </c>
      <c r="F9" s="639">
        <f t="shared" si="1"/>
        <v>48.789999999999992</v>
      </c>
      <c r="G9" s="444">
        <f t="shared" ref="G9:H9" si="2">SUM(G2:G8)</f>
        <v>51258658.239999995</v>
      </c>
      <c r="H9" s="639">
        <f t="shared" si="2"/>
        <v>48.82</v>
      </c>
      <c r="I9" s="444">
        <f t="shared" ref="I9:J9" si="3">SUM(I2:I8)</f>
        <v>51242525.939999998</v>
      </c>
      <c r="J9" s="639">
        <f t="shared" si="3"/>
        <v>49.07</v>
      </c>
      <c r="K9" s="444">
        <f t="shared" ref="K9:L9" si="4">SUM(K2:K8)</f>
        <v>51317222.530000001</v>
      </c>
      <c r="L9" s="639">
        <f t="shared" si="4"/>
        <v>49.1</v>
      </c>
      <c r="M9" s="444">
        <f t="shared" ref="M9:N9" si="5">SUM(M2:M8)</f>
        <v>51178833.609999999</v>
      </c>
      <c r="N9" s="639">
        <f t="shared" si="5"/>
        <v>49.03</v>
      </c>
      <c r="O9" s="444">
        <f t="shared" ref="O9:P9" si="6">SUM(O2:O8)</f>
        <v>51278846.890000001</v>
      </c>
      <c r="P9" s="639">
        <f t="shared" si="6"/>
        <v>49.06</v>
      </c>
      <c r="Q9" s="444">
        <f t="shared" ref="Q9:R9" si="7">SUM(Q2:Q8)</f>
        <v>51247092.599999994</v>
      </c>
      <c r="R9" s="639">
        <f t="shared" si="7"/>
        <v>49.04</v>
      </c>
      <c r="S9" s="444">
        <f t="shared" ref="S9:T9" si="8">SUM(S2:S8)</f>
        <v>51490827.170000002</v>
      </c>
      <c r="T9" s="639">
        <f t="shared" si="8"/>
        <v>49.150000000000006</v>
      </c>
      <c r="U9" s="444">
        <f t="shared" ref="U9:V9" si="9">SUM(U2:U8)</f>
        <v>51512458.700000003</v>
      </c>
      <c r="V9" s="639">
        <f t="shared" si="9"/>
        <v>49.160000000000011</v>
      </c>
      <c r="W9" s="444">
        <f t="shared" ref="W9:X9" si="10">SUM(W2:W8)</f>
        <v>51534136.799999997</v>
      </c>
      <c r="X9" s="639">
        <f t="shared" si="10"/>
        <v>49.17</v>
      </c>
      <c r="Y9" s="444">
        <f t="shared" ref="Y9:Z9" si="11">SUM(Y2:Y8)</f>
        <v>51463525.32</v>
      </c>
      <c r="Z9" s="639">
        <f t="shared" si="11"/>
        <v>49.120000000000005</v>
      </c>
      <c r="AA9" s="62">
        <f t="shared" ref="AA9:AB9" si="12">SUM(AA2:AA8)</f>
        <v>51527541.310000002</v>
      </c>
      <c r="AB9" s="897">
        <f t="shared" si="12"/>
        <v>49.16</v>
      </c>
      <c r="AC9" s="62">
        <f t="shared" ref="AC9:AD9" si="13">SUM(AC2:AC8)</f>
        <v>51571066.789999999</v>
      </c>
      <c r="AD9" s="897">
        <f t="shared" si="13"/>
        <v>49.17</v>
      </c>
      <c r="AE9" s="62">
        <f t="shared" ref="AE9:AF9" si="14">SUM(AE2:AE8)</f>
        <v>51592756.109999999</v>
      </c>
      <c r="AF9" s="897">
        <f t="shared" si="14"/>
        <v>49.17</v>
      </c>
      <c r="AG9" s="62">
        <f t="shared" ref="AG9:AH9" si="15">SUM(AG2:AG8)</f>
        <v>51622947.349999994</v>
      </c>
      <c r="AH9" s="897">
        <f t="shared" si="15"/>
        <v>49.180000000000007</v>
      </c>
      <c r="AI9" s="62">
        <f t="shared" ref="AI9:AJ9" si="16">SUM(AI2:AI8)</f>
        <v>51662764.490000002</v>
      </c>
      <c r="AJ9" s="897">
        <f t="shared" si="16"/>
        <v>49.2</v>
      </c>
      <c r="AK9" s="62">
        <f t="shared" ref="AK9:AL9" si="17">SUM(AK2:AK8)</f>
        <v>51758846.040000007</v>
      </c>
      <c r="AL9" s="897">
        <f t="shared" si="17"/>
        <v>49.230000000000004</v>
      </c>
      <c r="AM9" s="62">
        <f t="shared" ref="AM9:AN9" si="18">SUM(AM2:AM8)</f>
        <v>51347303.07</v>
      </c>
      <c r="AN9" s="897">
        <f t="shared" si="18"/>
        <v>48.84</v>
      </c>
      <c r="AO9" s="62">
        <f t="shared" ref="AO9:AP9" si="19">SUM(AO2:AO8)</f>
        <v>51196240.330000006</v>
      </c>
      <c r="AP9" s="897">
        <f t="shared" si="19"/>
        <v>48.769999999999996</v>
      </c>
      <c r="AQ9" s="62">
        <f t="shared" ref="AQ9:AR9" si="20">SUM(AQ2:AQ8)</f>
        <v>51422158.240000002</v>
      </c>
      <c r="AR9" s="897">
        <f t="shared" si="20"/>
        <v>48.86</v>
      </c>
      <c r="AS9" s="62">
        <f t="shared" ref="AS9:AT9" si="21">SUM(AS2:AS8)</f>
        <v>51463420.560000002</v>
      </c>
      <c r="AT9" s="897">
        <f t="shared" si="21"/>
        <v>48.839999999999996</v>
      </c>
    </row>
    <row r="10" spans="1:46" ht="15">
      <c r="A10" s="419" t="s">
        <v>25</v>
      </c>
      <c r="B10" s="422" t="s">
        <v>26</v>
      </c>
      <c r="C10" s="800">
        <v>3850835.54</v>
      </c>
      <c r="D10" s="593">
        <v>3.68</v>
      </c>
      <c r="E10" s="800">
        <v>3855384.72</v>
      </c>
      <c r="F10" s="593">
        <v>3.67</v>
      </c>
      <c r="G10" s="800">
        <v>3856902.13</v>
      </c>
      <c r="H10" s="593">
        <v>3.67</v>
      </c>
      <c r="I10" s="861">
        <v>3858420.67</v>
      </c>
      <c r="J10" s="859">
        <v>3.6999999999999997</v>
      </c>
      <c r="K10" s="762">
        <v>3859939.22</v>
      </c>
      <c r="L10" s="200">
        <v>3.6999999999999997</v>
      </c>
      <c r="M10" s="762">
        <v>3861458.89</v>
      </c>
      <c r="N10" s="200">
        <v>3.7</v>
      </c>
      <c r="O10" s="762">
        <v>3866020.58</v>
      </c>
      <c r="P10" s="200">
        <v>3.7</v>
      </c>
      <c r="Q10" s="762">
        <v>3867542.52</v>
      </c>
      <c r="R10" s="200">
        <v>3.7</v>
      </c>
      <c r="S10" s="762">
        <v>3869064.85</v>
      </c>
      <c r="T10" s="200">
        <v>3.69</v>
      </c>
      <c r="U10" s="762">
        <v>3870587.93</v>
      </c>
      <c r="V10" s="200">
        <v>3.69</v>
      </c>
      <c r="W10" s="762">
        <v>3872111.4</v>
      </c>
      <c r="X10" s="200">
        <v>3.69</v>
      </c>
      <c r="Y10" s="762">
        <v>3876685.95</v>
      </c>
      <c r="Z10" s="200">
        <v>3.7</v>
      </c>
      <c r="AA10" s="898">
        <v>3878212.06</v>
      </c>
      <c r="AB10" s="899">
        <v>3.7</v>
      </c>
      <c r="AC10" s="898">
        <v>3785000</v>
      </c>
      <c r="AD10" s="899">
        <v>3.61</v>
      </c>
      <c r="AE10" s="898">
        <v>3785000</v>
      </c>
      <c r="AF10" s="899">
        <v>3.61</v>
      </c>
      <c r="AG10" s="898">
        <v>3785000</v>
      </c>
      <c r="AH10" s="899">
        <v>3.61</v>
      </c>
      <c r="AI10" s="898">
        <v>3785000</v>
      </c>
      <c r="AJ10" s="899">
        <v>3.6</v>
      </c>
      <c r="AK10" s="898">
        <v>3785000</v>
      </c>
      <c r="AL10" s="899">
        <v>3.6</v>
      </c>
      <c r="AM10" s="898"/>
      <c r="AN10" s="899"/>
      <c r="AO10" s="898"/>
      <c r="AP10" s="899"/>
      <c r="AQ10" s="898"/>
      <c r="AR10" s="899"/>
      <c r="AS10" s="898"/>
      <c r="AT10" s="899"/>
    </row>
    <row r="11" spans="1:46" ht="15">
      <c r="A11" s="419" t="s">
        <v>116</v>
      </c>
      <c r="B11" s="422" t="s">
        <v>117</v>
      </c>
      <c r="C11" s="800">
        <v>2440303.5499999998</v>
      </c>
      <c r="D11" s="593">
        <v>2.33</v>
      </c>
      <c r="E11" s="800">
        <v>2443645.1</v>
      </c>
      <c r="F11" s="593">
        <v>2.33</v>
      </c>
      <c r="G11" s="800">
        <v>2444759.98</v>
      </c>
      <c r="H11" s="593">
        <v>2.33</v>
      </c>
      <c r="I11" s="861">
        <v>2445875.35</v>
      </c>
      <c r="J11" s="859">
        <v>2.34</v>
      </c>
      <c r="K11" s="762">
        <v>2446991.19</v>
      </c>
      <c r="L11" s="200">
        <v>2.34</v>
      </c>
      <c r="M11" s="762">
        <v>2448107.5099999998</v>
      </c>
      <c r="N11" s="200">
        <v>2.34</v>
      </c>
      <c r="O11" s="762">
        <v>2451459.59</v>
      </c>
      <c r="P11" s="200">
        <v>2.35</v>
      </c>
      <c r="Q11" s="762">
        <v>2452578.0699999998</v>
      </c>
      <c r="R11" s="200">
        <v>2.35</v>
      </c>
      <c r="S11" s="762">
        <v>2453697.02</v>
      </c>
      <c r="T11" s="200">
        <v>2.34</v>
      </c>
      <c r="U11" s="762">
        <v>2454816.46</v>
      </c>
      <c r="V11" s="200">
        <v>2.34</v>
      </c>
      <c r="W11" s="762">
        <v>2455936.37</v>
      </c>
      <c r="X11" s="200">
        <v>2.34</v>
      </c>
      <c r="Y11" s="762">
        <v>2459299.2200000002</v>
      </c>
      <c r="Z11" s="200">
        <v>2.35</v>
      </c>
      <c r="AA11" s="898">
        <v>2460421.29</v>
      </c>
      <c r="AB11" s="899">
        <v>2.35</v>
      </c>
      <c r="AC11" s="898">
        <v>2461543.84</v>
      </c>
      <c r="AD11" s="899">
        <v>2.35</v>
      </c>
      <c r="AE11" s="898">
        <v>2462666.62</v>
      </c>
      <c r="AF11" s="899">
        <v>2.35</v>
      </c>
      <c r="AG11" s="898">
        <v>2463790.37</v>
      </c>
      <c r="AH11" s="899">
        <v>2.35</v>
      </c>
      <c r="AI11" s="898">
        <v>2467163.9900000002</v>
      </c>
      <c r="AJ11" s="899">
        <v>2.35</v>
      </c>
      <c r="AK11" s="898">
        <v>2468289.41</v>
      </c>
      <c r="AL11" s="899">
        <v>2.35</v>
      </c>
      <c r="AM11" s="898">
        <v>2469415.5499999998</v>
      </c>
      <c r="AN11" s="899">
        <v>2.35</v>
      </c>
      <c r="AO11" s="898">
        <v>2470542.17</v>
      </c>
      <c r="AP11" s="899">
        <v>2.35</v>
      </c>
      <c r="AQ11" s="898">
        <v>2471669.2599999998</v>
      </c>
      <c r="AR11" s="899">
        <v>2.35</v>
      </c>
      <c r="AS11" s="898">
        <v>2473925.13</v>
      </c>
      <c r="AT11" s="899">
        <v>2.35</v>
      </c>
    </row>
    <row r="12" spans="1:46" ht="15">
      <c r="A12" s="497"/>
      <c r="B12" s="498"/>
      <c r="C12" s="800">
        <v>0</v>
      </c>
      <c r="D12" s="593">
        <v>0</v>
      </c>
      <c r="E12" s="800">
        <v>0</v>
      </c>
      <c r="F12" s="593">
        <v>0</v>
      </c>
      <c r="G12" s="800">
        <v>0</v>
      </c>
      <c r="H12" s="593">
        <v>0</v>
      </c>
      <c r="I12" s="861">
        <v>0</v>
      </c>
      <c r="J12" s="859">
        <v>0</v>
      </c>
      <c r="K12" s="762">
        <v>0</v>
      </c>
      <c r="L12" s="763">
        <v>0</v>
      </c>
      <c r="M12" s="762">
        <v>0</v>
      </c>
      <c r="N12" s="763">
        <v>0</v>
      </c>
      <c r="O12" s="762">
        <v>0</v>
      </c>
      <c r="P12" s="763">
        <v>0</v>
      </c>
      <c r="Q12" s="762">
        <v>0</v>
      </c>
      <c r="R12" s="763">
        <v>0</v>
      </c>
      <c r="S12" s="762">
        <v>0</v>
      </c>
      <c r="T12" s="763">
        <v>0</v>
      </c>
      <c r="U12" s="762">
        <v>0</v>
      </c>
      <c r="V12" s="763">
        <v>0</v>
      </c>
      <c r="W12" s="762">
        <v>0</v>
      </c>
      <c r="X12" s="763">
        <v>0</v>
      </c>
      <c r="Y12" s="762">
        <v>0</v>
      </c>
      <c r="Z12" s="763">
        <v>0</v>
      </c>
      <c r="AA12" s="898">
        <v>0</v>
      </c>
      <c r="AB12" s="900">
        <v>0</v>
      </c>
      <c r="AC12" s="898">
        <v>0</v>
      </c>
      <c r="AD12" s="900">
        <v>0</v>
      </c>
      <c r="AE12" s="898">
        <v>0</v>
      </c>
      <c r="AF12" s="900">
        <v>0</v>
      </c>
      <c r="AG12" s="898">
        <v>0</v>
      </c>
      <c r="AH12" s="900">
        <v>0</v>
      </c>
      <c r="AI12" s="898">
        <v>0</v>
      </c>
      <c r="AJ12" s="900">
        <v>0</v>
      </c>
      <c r="AK12" s="898">
        <v>0</v>
      </c>
      <c r="AL12" s="900">
        <v>0</v>
      </c>
      <c r="AM12" s="898">
        <v>0</v>
      </c>
      <c r="AN12" s="900">
        <v>0</v>
      </c>
      <c r="AO12" s="898">
        <v>0</v>
      </c>
      <c r="AP12" s="900">
        <v>0</v>
      </c>
      <c r="AQ12" s="898">
        <v>0</v>
      </c>
      <c r="AR12" s="900">
        <v>0</v>
      </c>
      <c r="AS12" s="898">
        <v>0</v>
      </c>
      <c r="AT12" s="900">
        <v>0</v>
      </c>
    </row>
    <row r="13" spans="1:46" ht="15">
      <c r="A13" s="420" t="s">
        <v>38</v>
      </c>
      <c r="B13" s="420" t="s">
        <v>39</v>
      </c>
      <c r="C13" s="800">
        <v>4039740.8</v>
      </c>
      <c r="D13" s="801">
        <v>3.85</v>
      </c>
      <c r="E13" s="800">
        <v>4044953.6000000001</v>
      </c>
      <c r="F13" s="801">
        <v>3.85</v>
      </c>
      <c r="G13" s="800">
        <v>4046692.4</v>
      </c>
      <c r="H13" s="801">
        <v>3.85</v>
      </c>
      <c r="I13" s="861">
        <v>4048432.4</v>
      </c>
      <c r="J13" s="860">
        <v>3.88</v>
      </c>
      <c r="K13" s="762">
        <v>4050172.8</v>
      </c>
      <c r="L13" s="200">
        <v>3.87</v>
      </c>
      <c r="M13" s="762">
        <v>4051914</v>
      </c>
      <c r="N13" s="200">
        <v>3.88</v>
      </c>
      <c r="O13" s="762">
        <v>4057142.4</v>
      </c>
      <c r="P13" s="200">
        <v>3.88</v>
      </c>
      <c r="Q13" s="762">
        <v>4058886.8</v>
      </c>
      <c r="R13" s="200">
        <v>3.88</v>
      </c>
      <c r="S13" s="762">
        <v>4060631.6</v>
      </c>
      <c r="T13" s="200">
        <v>3.88</v>
      </c>
      <c r="U13" s="762">
        <v>4062377.6</v>
      </c>
      <c r="V13" s="200">
        <v>3.88</v>
      </c>
      <c r="W13" s="762">
        <v>4064124</v>
      </c>
      <c r="X13" s="200">
        <v>3.88</v>
      </c>
      <c r="Y13" s="762">
        <v>4069368</v>
      </c>
      <c r="Z13" s="200">
        <v>3.88</v>
      </c>
      <c r="AA13" s="898">
        <v>4071117.6</v>
      </c>
      <c r="AB13" s="899">
        <v>3.88</v>
      </c>
      <c r="AC13" s="898">
        <v>4072868</v>
      </c>
      <c r="AD13" s="899">
        <v>3.88</v>
      </c>
      <c r="AE13" s="898">
        <v>4074618.8</v>
      </c>
      <c r="AF13" s="899">
        <v>3.88</v>
      </c>
      <c r="AG13" s="898">
        <v>4076370.8</v>
      </c>
      <c r="AH13" s="899">
        <v>3.88</v>
      </c>
      <c r="AI13" s="898">
        <v>4081630.8</v>
      </c>
      <c r="AJ13" s="899">
        <v>3.89</v>
      </c>
      <c r="AK13" s="898">
        <v>4083385.6</v>
      </c>
      <c r="AL13" s="899">
        <v>3.8899999999999997</v>
      </c>
      <c r="AM13" s="898">
        <v>4085141.2</v>
      </c>
      <c r="AN13" s="899">
        <v>3.89</v>
      </c>
      <c r="AO13" s="898">
        <v>4086897.2</v>
      </c>
      <c r="AP13" s="899">
        <v>3.89</v>
      </c>
      <c r="AQ13" s="898">
        <v>4088654.4</v>
      </c>
      <c r="AR13" s="899">
        <v>3.89</v>
      </c>
      <c r="AS13" s="898">
        <v>4092170.8</v>
      </c>
      <c r="AT13" s="899">
        <v>3.88</v>
      </c>
    </row>
    <row r="14" spans="1:46" thickBot="1">
      <c r="A14" s="421" t="s">
        <v>98</v>
      </c>
      <c r="B14" s="421" t="s">
        <v>99</v>
      </c>
      <c r="C14" s="800">
        <v>3098610.9</v>
      </c>
      <c r="D14" s="593">
        <v>2.96</v>
      </c>
      <c r="E14" s="800">
        <v>3102732</v>
      </c>
      <c r="F14" s="593">
        <v>2.96</v>
      </c>
      <c r="G14" s="800">
        <v>3104106.9</v>
      </c>
      <c r="H14" s="593">
        <v>2.96</v>
      </c>
      <c r="I14" s="861">
        <v>3105482.4</v>
      </c>
      <c r="J14" s="859">
        <v>2.97</v>
      </c>
      <c r="K14" s="861">
        <v>3106858.5</v>
      </c>
      <c r="L14" s="859">
        <v>2.97</v>
      </c>
      <c r="M14" s="861">
        <v>3108235.5</v>
      </c>
      <c r="N14" s="859">
        <v>2.98</v>
      </c>
      <c r="O14" s="861">
        <v>3112369.2</v>
      </c>
      <c r="P14" s="859">
        <v>2.98</v>
      </c>
      <c r="Q14" s="861">
        <v>3113748.6</v>
      </c>
      <c r="R14" s="859">
        <v>2.98</v>
      </c>
      <c r="S14" s="861">
        <v>3115128.3</v>
      </c>
      <c r="T14" s="859">
        <v>2.98</v>
      </c>
      <c r="U14" s="861">
        <v>3116508.6</v>
      </c>
      <c r="V14" s="859">
        <v>2.98</v>
      </c>
      <c r="W14" s="861">
        <v>3117889.8</v>
      </c>
      <c r="X14" s="859">
        <v>2.98</v>
      </c>
      <c r="Y14" s="861">
        <v>3122036.4</v>
      </c>
      <c r="Z14" s="859">
        <v>2.98</v>
      </c>
      <c r="AA14" s="901">
        <v>3000000</v>
      </c>
      <c r="AB14" s="895">
        <v>2.86</v>
      </c>
      <c r="AC14" s="901">
        <v>3001329.3</v>
      </c>
      <c r="AD14" s="895">
        <v>2.86</v>
      </c>
      <c r="AE14" s="901">
        <v>3002659.5</v>
      </c>
      <c r="AF14" s="895">
        <v>2.86</v>
      </c>
      <c r="AG14" s="901">
        <v>3003990</v>
      </c>
      <c r="AH14" s="895">
        <v>2.86</v>
      </c>
      <c r="AI14" s="901">
        <v>3007985.4</v>
      </c>
      <c r="AJ14" s="895">
        <v>2.86</v>
      </c>
      <c r="AK14" s="901">
        <v>3009318.3</v>
      </c>
      <c r="AL14" s="895">
        <v>2.86</v>
      </c>
      <c r="AM14" s="901">
        <v>3010651.8</v>
      </c>
      <c r="AN14" s="895">
        <v>2.86</v>
      </c>
      <c r="AO14" s="901">
        <v>3011985.9</v>
      </c>
      <c r="AP14" s="895">
        <v>2.87</v>
      </c>
      <c r="AQ14" s="901">
        <v>3013320.6</v>
      </c>
      <c r="AR14" s="895">
        <v>2.86</v>
      </c>
      <c r="AS14" s="901">
        <v>3015991.8</v>
      </c>
      <c r="AT14" s="895">
        <v>2.86</v>
      </c>
    </row>
    <row r="15" spans="1:46" ht="16.5" thickBot="1">
      <c r="A15" s="1022" t="s">
        <v>114</v>
      </c>
      <c r="B15" s="1047"/>
      <c r="C15" s="598">
        <f t="shared" ref="C15:D15" si="22">SUM(C10:C14)</f>
        <v>13429490.790000001</v>
      </c>
      <c r="D15" s="646">
        <f t="shared" si="22"/>
        <v>12.82</v>
      </c>
      <c r="E15" s="598">
        <f t="shared" ref="E15:F15" si="23">SUM(E10:E14)</f>
        <v>13446715.42</v>
      </c>
      <c r="F15" s="646">
        <f t="shared" si="23"/>
        <v>12.809999999999999</v>
      </c>
      <c r="G15" s="598">
        <f t="shared" ref="G15:H15" si="24">SUM(G10:G14)</f>
        <v>13452461.41</v>
      </c>
      <c r="H15" s="646">
        <f t="shared" si="24"/>
        <v>12.809999999999999</v>
      </c>
      <c r="I15" s="598">
        <f t="shared" ref="I15:J15" si="25">SUM(I10:I14)</f>
        <v>13458210.82</v>
      </c>
      <c r="J15" s="646">
        <f t="shared" si="25"/>
        <v>12.889999999999999</v>
      </c>
      <c r="K15" s="598">
        <f t="shared" ref="K15:L15" si="26">SUM(K10:K14)</f>
        <v>13463961.710000001</v>
      </c>
      <c r="L15" s="646">
        <f t="shared" si="26"/>
        <v>12.88</v>
      </c>
      <c r="M15" s="598">
        <f t="shared" ref="M15:N15" si="27">SUM(M10:M14)</f>
        <v>13469715.9</v>
      </c>
      <c r="N15" s="646">
        <f t="shared" si="27"/>
        <v>12.9</v>
      </c>
      <c r="O15" s="598">
        <f t="shared" ref="O15:P15" si="28">SUM(O10:O14)</f>
        <v>13486991.77</v>
      </c>
      <c r="P15" s="646">
        <f t="shared" si="28"/>
        <v>12.91</v>
      </c>
      <c r="Q15" s="598">
        <f t="shared" ref="Q15:R15" si="29">SUM(Q10:Q14)</f>
        <v>13492755.99</v>
      </c>
      <c r="R15" s="646">
        <f t="shared" si="29"/>
        <v>12.91</v>
      </c>
      <c r="S15" s="598">
        <f t="shared" ref="S15:T15" si="30">SUM(S10:S14)</f>
        <v>13498521.77</v>
      </c>
      <c r="T15" s="646">
        <f t="shared" si="30"/>
        <v>12.89</v>
      </c>
      <c r="U15" s="598">
        <f t="shared" ref="U15:V15" si="31">SUM(U10:U14)</f>
        <v>13504290.59</v>
      </c>
      <c r="V15" s="646">
        <f t="shared" si="31"/>
        <v>12.89</v>
      </c>
      <c r="W15" s="598">
        <f t="shared" ref="W15:X15" si="32">SUM(W10:W14)</f>
        <v>13510061.57</v>
      </c>
      <c r="X15" s="646">
        <f t="shared" si="32"/>
        <v>12.89</v>
      </c>
      <c r="Y15" s="598">
        <f t="shared" ref="Y15:Z15" si="33">SUM(Y10:Y14)</f>
        <v>13527389.57</v>
      </c>
      <c r="Z15" s="646">
        <f t="shared" si="33"/>
        <v>12.91</v>
      </c>
      <c r="AA15" s="902">
        <f t="shared" ref="AA15:AB15" si="34">SUM(AA10:AA14)</f>
        <v>13409750.949999999</v>
      </c>
      <c r="AB15" s="903">
        <f t="shared" si="34"/>
        <v>12.79</v>
      </c>
      <c r="AC15" s="902">
        <f t="shared" ref="AC15:AD15" si="35">SUM(AC10:AC14)</f>
        <v>13320741.140000001</v>
      </c>
      <c r="AD15" s="903">
        <f t="shared" si="35"/>
        <v>12.7</v>
      </c>
      <c r="AE15" s="902">
        <f t="shared" ref="AE15:AF15" si="36">SUM(AE10:AE14)</f>
        <v>13324944.92</v>
      </c>
      <c r="AF15" s="903">
        <f t="shared" si="36"/>
        <v>12.7</v>
      </c>
      <c r="AG15" s="902">
        <f t="shared" ref="AG15:AH15" si="37">SUM(AG10:AG14)</f>
        <v>13329151.17</v>
      </c>
      <c r="AH15" s="903">
        <f t="shared" si="37"/>
        <v>12.7</v>
      </c>
      <c r="AI15" s="902">
        <f t="shared" ref="AI15:AJ15" si="38">SUM(AI10:AI14)</f>
        <v>13341780.189999999</v>
      </c>
      <c r="AJ15" s="903">
        <f t="shared" si="38"/>
        <v>12.7</v>
      </c>
      <c r="AK15" s="902">
        <f t="shared" ref="AK15:AL15" si="39">SUM(AK10:AK14)</f>
        <v>13345993.309999999</v>
      </c>
      <c r="AL15" s="903">
        <f t="shared" si="39"/>
        <v>12.7</v>
      </c>
      <c r="AM15" s="902">
        <f t="shared" ref="AM15:AN15" si="40">SUM(AM10:AM14)</f>
        <v>9565208.5500000007</v>
      </c>
      <c r="AN15" s="903">
        <f t="shared" si="40"/>
        <v>9.1</v>
      </c>
      <c r="AO15" s="902">
        <f t="shared" ref="AO15:AP15" si="41">SUM(AO10:AO14)</f>
        <v>9569425.2699999996</v>
      </c>
      <c r="AP15" s="903">
        <f t="shared" si="41"/>
        <v>9.11</v>
      </c>
      <c r="AQ15" s="902">
        <f t="shared" ref="AQ15:AR15" si="42">SUM(AQ10:AQ14)</f>
        <v>9573644.2599999998</v>
      </c>
      <c r="AR15" s="903">
        <f t="shared" si="42"/>
        <v>9.1</v>
      </c>
      <c r="AS15" s="902">
        <f t="shared" ref="AS15:AT15" si="43">SUM(AS10:AS14)</f>
        <v>9582087.7300000004</v>
      </c>
      <c r="AT15" s="903">
        <f t="shared" si="43"/>
        <v>9.09</v>
      </c>
    </row>
    <row r="16" spans="1:46" ht="31.5">
      <c r="A16" s="77" t="s">
        <v>41</v>
      </c>
      <c r="B16" s="78" t="s">
        <v>42</v>
      </c>
      <c r="C16" s="599"/>
      <c r="D16" s="648"/>
      <c r="E16" s="599"/>
      <c r="F16" s="648"/>
      <c r="G16" s="599"/>
      <c r="H16" s="648"/>
      <c r="I16" s="599"/>
      <c r="J16" s="648"/>
      <c r="K16" s="599"/>
      <c r="L16" s="648"/>
      <c r="M16" s="599"/>
      <c r="N16" s="648"/>
      <c r="O16" s="599"/>
      <c r="P16" s="648"/>
      <c r="Q16" s="599"/>
      <c r="R16" s="648"/>
      <c r="S16" s="599"/>
      <c r="T16" s="648"/>
      <c r="U16" s="599"/>
      <c r="V16" s="648"/>
      <c r="W16" s="599"/>
      <c r="X16" s="648"/>
      <c r="Y16" s="599"/>
      <c r="Z16" s="648"/>
      <c r="AA16" s="904"/>
      <c r="AB16" s="905"/>
      <c r="AC16" s="904"/>
      <c r="AD16" s="905"/>
      <c r="AE16" s="904"/>
      <c r="AF16" s="905"/>
      <c r="AG16" s="904"/>
      <c r="AH16" s="905"/>
      <c r="AI16" s="904"/>
      <c r="AJ16" s="905"/>
      <c r="AK16" s="904"/>
      <c r="AL16" s="905"/>
      <c r="AM16" s="904"/>
      <c r="AN16" s="905"/>
      <c r="AO16" s="904"/>
      <c r="AP16" s="905"/>
      <c r="AQ16" s="904"/>
      <c r="AR16" s="905"/>
      <c r="AS16" s="904"/>
      <c r="AT16" s="905"/>
    </row>
    <row r="17" spans="1:46" ht="16.5" thickBot="1">
      <c r="A17" s="460">
        <v>22048622</v>
      </c>
      <c r="B17" s="461" t="s">
        <v>121</v>
      </c>
      <c r="C17" s="802">
        <v>1706400</v>
      </c>
      <c r="D17" s="648">
        <v>1.64</v>
      </c>
      <c r="E17" s="802">
        <v>1706400</v>
      </c>
      <c r="F17" s="648">
        <v>1.63</v>
      </c>
      <c r="G17" s="802">
        <v>1706400</v>
      </c>
      <c r="H17" s="648">
        <v>1.63</v>
      </c>
      <c r="I17" s="802">
        <v>1706400</v>
      </c>
      <c r="J17" s="648">
        <v>1.63</v>
      </c>
      <c r="K17" s="802">
        <v>1706400</v>
      </c>
      <c r="L17" s="648">
        <v>1.63</v>
      </c>
      <c r="M17" s="802">
        <v>1706400</v>
      </c>
      <c r="N17" s="648">
        <v>1.64</v>
      </c>
      <c r="O17" s="802">
        <v>1706400</v>
      </c>
      <c r="P17" s="648">
        <v>1.64</v>
      </c>
      <c r="Q17" s="802">
        <v>1706400</v>
      </c>
      <c r="R17" s="648">
        <v>1.64</v>
      </c>
      <c r="S17" s="802">
        <v>1706400</v>
      </c>
      <c r="T17" s="648">
        <v>1.63</v>
      </c>
      <c r="U17" s="802">
        <v>1706400</v>
      </c>
      <c r="V17" s="648">
        <v>1.63</v>
      </c>
      <c r="W17" s="802">
        <v>1706400</v>
      </c>
      <c r="X17" s="648">
        <v>1.63</v>
      </c>
      <c r="Y17" s="802">
        <v>1706400</v>
      </c>
      <c r="Z17" s="648">
        <v>1.63</v>
      </c>
      <c r="AA17" s="906">
        <v>1706400</v>
      </c>
      <c r="AB17" s="905">
        <v>1.63</v>
      </c>
      <c r="AC17" s="906">
        <v>1706400</v>
      </c>
      <c r="AD17" s="905">
        <v>1.63</v>
      </c>
      <c r="AE17" s="906">
        <v>1706400</v>
      </c>
      <c r="AF17" s="905">
        <v>1.63</v>
      </c>
      <c r="AG17" s="906">
        <v>1706400</v>
      </c>
      <c r="AH17" s="905">
        <v>1.61</v>
      </c>
      <c r="AI17" s="906">
        <v>1706400</v>
      </c>
      <c r="AJ17" s="905">
        <v>1.62</v>
      </c>
      <c r="AK17" s="906">
        <v>1706400</v>
      </c>
      <c r="AL17" s="905">
        <v>1.62</v>
      </c>
      <c r="AM17" s="906">
        <v>1706400</v>
      </c>
      <c r="AN17" s="905">
        <v>1.62</v>
      </c>
      <c r="AO17" s="906">
        <v>1706400</v>
      </c>
      <c r="AP17" s="905">
        <v>1.62</v>
      </c>
      <c r="AQ17" s="906">
        <v>1706400</v>
      </c>
      <c r="AR17" s="905">
        <v>1.62</v>
      </c>
      <c r="AS17" s="906">
        <v>1706400</v>
      </c>
      <c r="AT17" s="905">
        <v>1.62</v>
      </c>
    </row>
    <row r="18" spans="1:46" ht="16.5" thickBot="1">
      <c r="A18" s="1039" t="s">
        <v>112</v>
      </c>
      <c r="B18" s="1039"/>
      <c r="C18" s="601">
        <f>SUM(C16:C17)</f>
        <v>1706400</v>
      </c>
      <c r="D18" s="650">
        <f>D17</f>
        <v>1.64</v>
      </c>
      <c r="E18" s="601">
        <f>SUM(E16:E17)</f>
        <v>1706400</v>
      </c>
      <c r="F18" s="650">
        <f>F17</f>
        <v>1.63</v>
      </c>
      <c r="G18" s="601">
        <f>SUM(G16:G17)</f>
        <v>1706400</v>
      </c>
      <c r="H18" s="650">
        <f>H17</f>
        <v>1.63</v>
      </c>
      <c r="I18" s="601">
        <f>SUM(I16:I17)</f>
        <v>1706400</v>
      </c>
      <c r="J18" s="650">
        <f>J17</f>
        <v>1.63</v>
      </c>
      <c r="K18" s="601">
        <f>SUM(K16:K17)</f>
        <v>1706400</v>
      </c>
      <c r="L18" s="650">
        <f>L17</f>
        <v>1.63</v>
      </c>
      <c r="M18" s="601">
        <f>SUM(M16:M17)</f>
        <v>1706400</v>
      </c>
      <c r="N18" s="650">
        <f>N17</f>
        <v>1.64</v>
      </c>
      <c r="O18" s="601">
        <f>SUM(O16:O17)</f>
        <v>1706400</v>
      </c>
      <c r="P18" s="650">
        <f>P17</f>
        <v>1.64</v>
      </c>
      <c r="Q18" s="601">
        <f>SUM(Q16:Q17)</f>
        <v>1706400</v>
      </c>
      <c r="R18" s="650">
        <f>R17</f>
        <v>1.64</v>
      </c>
      <c r="S18" s="601">
        <f>SUM(S16:S17)</f>
        <v>1706400</v>
      </c>
      <c r="T18" s="650">
        <f>T17</f>
        <v>1.63</v>
      </c>
      <c r="U18" s="601">
        <f>SUM(U16:U17)</f>
        <v>1706400</v>
      </c>
      <c r="V18" s="650">
        <f>V17</f>
        <v>1.63</v>
      </c>
      <c r="W18" s="601">
        <f>SUM(W16:W17)</f>
        <v>1706400</v>
      </c>
      <c r="X18" s="650">
        <f>X17</f>
        <v>1.63</v>
      </c>
      <c r="Y18" s="601">
        <f>SUM(Y16:Y17)</f>
        <v>1706400</v>
      </c>
      <c r="Z18" s="650">
        <f>Z17</f>
        <v>1.63</v>
      </c>
      <c r="AA18" s="95">
        <f>SUM(AA16:AA17)</f>
        <v>1706400</v>
      </c>
      <c r="AB18" s="907">
        <f>AB17</f>
        <v>1.63</v>
      </c>
      <c r="AC18" s="95">
        <f>SUM(AC16:AC17)</f>
        <v>1706400</v>
      </c>
      <c r="AD18" s="907">
        <f>AD17</f>
        <v>1.63</v>
      </c>
      <c r="AE18" s="95">
        <f>SUM(AE16:AE17)</f>
        <v>1706400</v>
      </c>
      <c r="AF18" s="907">
        <f>AF17</f>
        <v>1.63</v>
      </c>
      <c r="AG18" s="95">
        <f>SUM(AG16:AG17)</f>
        <v>1706400</v>
      </c>
      <c r="AH18" s="907">
        <f>AH17</f>
        <v>1.61</v>
      </c>
      <c r="AI18" s="95">
        <f>SUM(AI16:AI17)</f>
        <v>1706400</v>
      </c>
      <c r="AJ18" s="907">
        <f>AJ17</f>
        <v>1.62</v>
      </c>
      <c r="AK18" s="95">
        <f>SUM(AK16:AK17)</f>
        <v>1706400</v>
      </c>
      <c r="AL18" s="907">
        <f>AL17</f>
        <v>1.62</v>
      </c>
      <c r="AM18" s="95">
        <f>SUM(AM16:AM17)</f>
        <v>1706400</v>
      </c>
      <c r="AN18" s="907">
        <f>AN17</f>
        <v>1.62</v>
      </c>
      <c r="AO18" s="95">
        <f>SUM(AO16:AO17)</f>
        <v>1706400</v>
      </c>
      <c r="AP18" s="907">
        <f>AP17</f>
        <v>1.62</v>
      </c>
      <c r="AQ18" s="95">
        <f>SUM(AQ16:AQ17)</f>
        <v>1706400</v>
      </c>
      <c r="AR18" s="907">
        <v>1.61</v>
      </c>
      <c r="AS18" s="95">
        <f>SUM(AS16:AS17)</f>
        <v>1706400</v>
      </c>
      <c r="AT18" s="907">
        <v>1.61</v>
      </c>
    </row>
    <row r="19" spans="1:46">
      <c r="A19" s="447" t="s">
        <v>106</v>
      </c>
      <c r="B19" s="446"/>
      <c r="C19" s="602">
        <v>550495</v>
      </c>
      <c r="D19" s="803">
        <v>0.53</v>
      </c>
      <c r="E19" s="602">
        <v>550495</v>
      </c>
      <c r="F19" s="803">
        <v>0.52</v>
      </c>
      <c r="G19" s="602">
        <v>550495</v>
      </c>
      <c r="H19" s="803">
        <v>0.52</v>
      </c>
      <c r="I19" s="602">
        <v>550495</v>
      </c>
      <c r="J19" s="862">
        <v>0.53</v>
      </c>
      <c r="K19" s="602">
        <v>550495</v>
      </c>
      <c r="L19" s="862">
        <v>0.53</v>
      </c>
      <c r="M19" s="602">
        <v>550495</v>
      </c>
      <c r="N19" s="862">
        <v>0.53</v>
      </c>
      <c r="O19" s="602">
        <v>550495</v>
      </c>
      <c r="P19" s="862">
        <v>0.52</v>
      </c>
      <c r="Q19" s="602">
        <v>550495</v>
      </c>
      <c r="R19" s="862">
        <v>0.53</v>
      </c>
      <c r="S19" s="602">
        <v>550495</v>
      </c>
      <c r="T19" s="862">
        <v>0.53</v>
      </c>
      <c r="U19" s="602">
        <v>550495</v>
      </c>
      <c r="V19" s="862">
        <v>0.53</v>
      </c>
      <c r="W19" s="602">
        <v>550495</v>
      </c>
      <c r="X19" s="862">
        <v>0.53</v>
      </c>
      <c r="Y19" s="602">
        <v>550495</v>
      </c>
      <c r="Z19" s="862">
        <v>0.53</v>
      </c>
      <c r="AA19" s="908">
        <v>550495</v>
      </c>
      <c r="AB19" s="909">
        <v>0.53</v>
      </c>
      <c r="AC19" s="908">
        <v>550495</v>
      </c>
      <c r="AD19" s="909">
        <v>0.53</v>
      </c>
      <c r="AE19" s="908">
        <v>550495</v>
      </c>
      <c r="AF19" s="909">
        <v>0.53</v>
      </c>
      <c r="AG19" s="908">
        <v>550495</v>
      </c>
      <c r="AH19" s="909">
        <v>0.53</v>
      </c>
      <c r="AI19" s="908">
        <v>550495</v>
      </c>
      <c r="AJ19" s="909">
        <v>0.52</v>
      </c>
      <c r="AK19" s="908">
        <v>550495</v>
      </c>
      <c r="AL19" s="909">
        <v>0.52</v>
      </c>
      <c r="AM19" s="908">
        <v>550495</v>
      </c>
      <c r="AN19" s="909">
        <v>0.53</v>
      </c>
      <c r="AO19" s="908">
        <v>550495</v>
      </c>
      <c r="AP19" s="909">
        <v>0.52</v>
      </c>
      <c r="AQ19" s="908">
        <v>550495</v>
      </c>
      <c r="AR19" s="909">
        <v>0.52</v>
      </c>
      <c r="AS19" s="908">
        <v>550495</v>
      </c>
      <c r="AT19" s="909">
        <v>0.52</v>
      </c>
    </row>
    <row r="20" spans="1:46">
      <c r="A20" s="447" t="s">
        <v>107</v>
      </c>
      <c r="B20" s="446"/>
      <c r="C20" s="603">
        <v>1188246.17</v>
      </c>
      <c r="D20" s="804">
        <v>1.1299999999999999</v>
      </c>
      <c r="E20" s="603">
        <v>1188246.17</v>
      </c>
      <c r="F20" s="804">
        <v>1.1299999999999999</v>
      </c>
      <c r="G20" s="603">
        <v>1188246.17</v>
      </c>
      <c r="H20" s="804">
        <v>1.1299999999999999</v>
      </c>
      <c r="I20" s="603">
        <v>1188246.17</v>
      </c>
      <c r="J20" s="863">
        <v>1.1399999999999999</v>
      </c>
      <c r="K20" s="603">
        <v>1188246.17</v>
      </c>
      <c r="L20" s="863">
        <v>1.1299999999999999</v>
      </c>
      <c r="M20" s="603">
        <v>1188246.17</v>
      </c>
      <c r="N20" s="863">
        <v>1.1399999999999999</v>
      </c>
      <c r="O20" s="603">
        <v>1188246.17</v>
      </c>
      <c r="P20" s="863">
        <v>1.1399999999999999</v>
      </c>
      <c r="Q20" s="603">
        <v>1188246.17</v>
      </c>
      <c r="R20" s="863">
        <v>1.1399999999999999</v>
      </c>
      <c r="S20" s="603">
        <v>1188246.17</v>
      </c>
      <c r="T20" s="863">
        <v>1.1299999999999999</v>
      </c>
      <c r="U20" s="603">
        <v>1188246.17</v>
      </c>
      <c r="V20" s="863">
        <v>1.1299999999999999</v>
      </c>
      <c r="W20" s="603">
        <v>1188246.17</v>
      </c>
      <c r="X20" s="863">
        <v>1.1299999999999999</v>
      </c>
      <c r="Y20" s="603">
        <v>1188246.17</v>
      </c>
      <c r="Z20" s="863">
        <v>1.1299999999999999</v>
      </c>
      <c r="AA20" s="910">
        <v>1188246.17</v>
      </c>
      <c r="AB20" s="911">
        <v>1.1299999999999999</v>
      </c>
      <c r="AC20" s="910">
        <v>1188246.17</v>
      </c>
      <c r="AD20" s="911">
        <v>1.1299999999999999</v>
      </c>
      <c r="AE20" s="910">
        <v>1188246.17</v>
      </c>
      <c r="AF20" s="911">
        <v>1.1299999999999999</v>
      </c>
      <c r="AG20" s="910">
        <v>1188246.17</v>
      </c>
      <c r="AH20" s="911">
        <v>1.1299999999999999</v>
      </c>
      <c r="AI20" s="910">
        <v>1188246.17</v>
      </c>
      <c r="AJ20" s="911">
        <v>1.1299999999999999</v>
      </c>
      <c r="AK20" s="910">
        <v>1188246.17</v>
      </c>
      <c r="AL20" s="911">
        <v>1.1299999999999999</v>
      </c>
      <c r="AM20" s="910">
        <v>1188246.17</v>
      </c>
      <c r="AN20" s="911">
        <v>1.1299999999999999</v>
      </c>
      <c r="AO20" s="910">
        <v>1188246.17</v>
      </c>
      <c r="AP20" s="911">
        <v>1.1299999999999999</v>
      </c>
      <c r="AQ20" s="910">
        <v>1188246.17</v>
      </c>
      <c r="AR20" s="911">
        <v>1.1299999999999999</v>
      </c>
      <c r="AS20" s="910">
        <v>1188246.17</v>
      </c>
      <c r="AT20" s="911">
        <v>1.1299999999999999</v>
      </c>
    </row>
    <row r="21" spans="1:46" ht="16.5" thickBot="1">
      <c r="A21" s="447" t="s">
        <v>108</v>
      </c>
      <c r="B21" s="446"/>
      <c r="C21" s="604">
        <v>5267242.53</v>
      </c>
      <c r="D21" s="804">
        <v>5.03</v>
      </c>
      <c r="E21" s="604">
        <v>5267242.53</v>
      </c>
      <c r="F21" s="804">
        <v>5.0199999999999996</v>
      </c>
      <c r="G21" s="604">
        <v>5267242.53</v>
      </c>
      <c r="H21" s="804">
        <v>5.0199999999999996</v>
      </c>
      <c r="I21" s="604">
        <v>5267242.53</v>
      </c>
      <c r="J21" s="863">
        <v>5.04</v>
      </c>
      <c r="K21" s="604">
        <v>5267242.53</v>
      </c>
      <c r="L21" s="863">
        <v>5.04</v>
      </c>
      <c r="M21" s="604">
        <v>5267242.53</v>
      </c>
      <c r="N21" s="863">
        <v>5.04</v>
      </c>
      <c r="O21" s="604">
        <v>5267242.53</v>
      </c>
      <c r="P21" s="863">
        <v>5.04</v>
      </c>
      <c r="Q21" s="604">
        <v>5267242.53</v>
      </c>
      <c r="R21" s="863">
        <v>5.04</v>
      </c>
      <c r="S21" s="604">
        <v>5267242.53</v>
      </c>
      <c r="T21" s="863">
        <v>5.03</v>
      </c>
      <c r="U21" s="604">
        <v>5267242.53</v>
      </c>
      <c r="V21" s="863">
        <v>5.03</v>
      </c>
      <c r="W21" s="604">
        <v>5267242.53</v>
      </c>
      <c r="X21" s="863">
        <v>5.03</v>
      </c>
      <c r="Y21" s="604">
        <v>5267242.53</v>
      </c>
      <c r="Z21" s="863">
        <v>5.03</v>
      </c>
      <c r="AA21" s="912">
        <v>5267242.53</v>
      </c>
      <c r="AB21" s="911">
        <v>5.03</v>
      </c>
      <c r="AC21" s="912">
        <v>5267242.53</v>
      </c>
      <c r="AD21" s="911">
        <v>5.0199999999999996</v>
      </c>
      <c r="AE21" s="912">
        <v>5267242.53</v>
      </c>
      <c r="AF21" s="911">
        <v>5.0199999999999996</v>
      </c>
      <c r="AG21" s="912">
        <v>5267242.53</v>
      </c>
      <c r="AH21" s="911">
        <v>5.0199999999999996</v>
      </c>
      <c r="AI21" s="912">
        <v>5267242.53</v>
      </c>
      <c r="AJ21" s="911">
        <v>5.0199999999999996</v>
      </c>
      <c r="AK21" s="912">
        <v>5267242.53</v>
      </c>
      <c r="AL21" s="911">
        <v>5.0199999999999996</v>
      </c>
      <c r="AM21" s="912">
        <v>5267242.53</v>
      </c>
      <c r="AN21" s="911">
        <v>5.01</v>
      </c>
      <c r="AO21" s="912">
        <v>5267242.53</v>
      </c>
      <c r="AP21" s="911">
        <v>5.0199999999999996</v>
      </c>
      <c r="AQ21" s="912">
        <v>5267242.53</v>
      </c>
      <c r="AR21" s="911">
        <v>5.01</v>
      </c>
      <c r="AS21" s="912">
        <v>5267242.53</v>
      </c>
      <c r="AT21" s="911">
        <v>5</v>
      </c>
    </row>
    <row r="22" spans="1:46" ht="16.5" thickBot="1">
      <c r="A22" s="1026" t="s">
        <v>111</v>
      </c>
      <c r="B22" s="1027"/>
      <c r="C22" s="601">
        <f t="shared" ref="C22:D22" si="44">SUM(C19:C21)</f>
        <v>7005983.7000000002</v>
      </c>
      <c r="D22" s="650">
        <f t="shared" si="44"/>
        <v>6.69</v>
      </c>
      <c r="E22" s="601">
        <f t="shared" ref="E22:F22" si="45">SUM(E19:E21)</f>
        <v>7005983.7000000002</v>
      </c>
      <c r="F22" s="650">
        <f t="shared" si="45"/>
        <v>6.67</v>
      </c>
      <c r="G22" s="601">
        <f t="shared" ref="G22:H22" si="46">SUM(G19:G21)</f>
        <v>7005983.7000000002</v>
      </c>
      <c r="H22" s="650">
        <f t="shared" si="46"/>
        <v>6.67</v>
      </c>
      <c r="I22" s="601">
        <f t="shared" ref="I22:J22" si="47">SUM(I19:I21)</f>
        <v>7005983.7000000002</v>
      </c>
      <c r="J22" s="650">
        <f t="shared" si="47"/>
        <v>6.71</v>
      </c>
      <c r="K22" s="601">
        <f t="shared" ref="K22:L22" si="48">SUM(K19:K21)</f>
        <v>7005983.7000000002</v>
      </c>
      <c r="L22" s="650">
        <f t="shared" si="48"/>
        <v>6.7</v>
      </c>
      <c r="M22" s="601">
        <f t="shared" ref="M22:N22" si="49">SUM(M19:M21)</f>
        <v>7005983.7000000002</v>
      </c>
      <c r="N22" s="650">
        <f t="shared" si="49"/>
        <v>6.71</v>
      </c>
      <c r="O22" s="601">
        <f t="shared" ref="O22:P22" si="50">SUM(O19:O21)</f>
        <v>7005983.7000000002</v>
      </c>
      <c r="P22" s="650">
        <f t="shared" si="50"/>
        <v>6.7</v>
      </c>
      <c r="Q22" s="601">
        <f t="shared" ref="Q22:R22" si="51">SUM(Q19:Q21)</f>
        <v>7005983.7000000002</v>
      </c>
      <c r="R22" s="650">
        <f t="shared" si="51"/>
        <v>6.71</v>
      </c>
      <c r="S22" s="601">
        <f t="shared" ref="S22:T22" si="52">SUM(S19:S21)</f>
        <v>7005983.7000000002</v>
      </c>
      <c r="T22" s="650">
        <f t="shared" si="52"/>
        <v>6.69</v>
      </c>
      <c r="U22" s="601">
        <f t="shared" ref="U22:V22" si="53">SUM(U19:U21)</f>
        <v>7005983.7000000002</v>
      </c>
      <c r="V22" s="650">
        <f t="shared" si="53"/>
        <v>6.69</v>
      </c>
      <c r="W22" s="601">
        <f t="shared" ref="W22:X22" si="54">SUM(W19:W21)</f>
        <v>7005983.7000000002</v>
      </c>
      <c r="X22" s="650">
        <f t="shared" si="54"/>
        <v>6.69</v>
      </c>
      <c r="Y22" s="601">
        <f t="shared" ref="Y22:Z22" si="55">SUM(Y19:Y21)</f>
        <v>7005983.7000000002</v>
      </c>
      <c r="Z22" s="650">
        <f t="shared" si="55"/>
        <v>6.69</v>
      </c>
      <c r="AA22" s="95">
        <f t="shared" ref="AA22:AB22" si="56">SUM(AA19:AA21)</f>
        <v>7005983.7000000002</v>
      </c>
      <c r="AB22" s="907">
        <f t="shared" si="56"/>
        <v>6.69</v>
      </c>
      <c r="AC22" s="95">
        <f t="shared" ref="AC22:AD22" si="57">SUM(AC19:AC21)</f>
        <v>7005983.7000000002</v>
      </c>
      <c r="AD22" s="907">
        <f t="shared" si="57"/>
        <v>6.68</v>
      </c>
      <c r="AE22" s="95">
        <f t="shared" ref="AE22:AF22" si="58">SUM(AE19:AE21)</f>
        <v>7005983.7000000002</v>
      </c>
      <c r="AF22" s="907">
        <f t="shared" si="58"/>
        <v>6.68</v>
      </c>
      <c r="AG22" s="95">
        <f t="shared" ref="AG22:AH22" si="59">SUM(AG19:AG21)</f>
        <v>7005983.7000000002</v>
      </c>
      <c r="AH22" s="907">
        <f t="shared" si="59"/>
        <v>6.68</v>
      </c>
      <c r="AI22" s="95">
        <f t="shared" ref="AI22:AJ22" si="60">SUM(AI19:AI21)</f>
        <v>7005983.7000000002</v>
      </c>
      <c r="AJ22" s="907">
        <f t="shared" si="60"/>
        <v>6.67</v>
      </c>
      <c r="AK22" s="95">
        <f t="shared" ref="AK22:AL22" si="61">SUM(AK19:AK21)</f>
        <v>7005983.7000000002</v>
      </c>
      <c r="AL22" s="907">
        <f t="shared" si="61"/>
        <v>6.67</v>
      </c>
      <c r="AM22" s="95">
        <f t="shared" ref="AM22:AN22" si="62">SUM(AM19:AM21)</f>
        <v>7005983.7000000002</v>
      </c>
      <c r="AN22" s="907">
        <f t="shared" si="62"/>
        <v>6.67</v>
      </c>
      <c r="AO22" s="95">
        <f t="shared" ref="AO22:AP22" si="63">SUM(AO19:AO21)</f>
        <v>7005983.7000000002</v>
      </c>
      <c r="AP22" s="907">
        <f t="shared" si="63"/>
        <v>6.67</v>
      </c>
      <c r="AQ22" s="95">
        <f t="shared" ref="AQ22:AR22" si="64">SUM(AQ19:AQ21)</f>
        <v>7005983.7000000002</v>
      </c>
      <c r="AR22" s="907">
        <f t="shared" si="64"/>
        <v>6.66</v>
      </c>
      <c r="AS22" s="95">
        <f t="shared" ref="AS22:AT22" si="65">SUM(AS19:AS21)</f>
        <v>7005983.7000000002</v>
      </c>
      <c r="AT22" s="907">
        <f t="shared" si="65"/>
        <v>6.65</v>
      </c>
    </row>
    <row r="23" spans="1:46" ht="15">
      <c r="A23" s="553" t="s">
        <v>45</v>
      </c>
      <c r="B23" s="478" t="s">
        <v>58</v>
      </c>
      <c r="C23" s="464">
        <v>67425.850000000006</v>
      </c>
      <c r="D23" s="502">
        <v>0.06</v>
      </c>
      <c r="E23" s="464">
        <v>120946.4</v>
      </c>
      <c r="F23" s="502">
        <v>0.11</v>
      </c>
      <c r="G23" s="464">
        <v>120946.4</v>
      </c>
      <c r="H23" s="502">
        <v>0.11</v>
      </c>
      <c r="I23" s="845">
        <v>946.4</v>
      </c>
      <c r="J23" s="865">
        <v>0</v>
      </c>
      <c r="K23" s="464">
        <v>1159.1400000000001</v>
      </c>
      <c r="L23" s="867">
        <v>0</v>
      </c>
      <c r="M23" s="789">
        <v>25170.16</v>
      </c>
      <c r="N23" s="867">
        <v>0.02</v>
      </c>
      <c r="O23" s="489">
        <v>32835.46</v>
      </c>
      <c r="P23" s="867">
        <v>0.03</v>
      </c>
      <c r="Q23" s="464">
        <v>185218.8</v>
      </c>
      <c r="R23" s="867">
        <v>0.18</v>
      </c>
      <c r="S23" s="464">
        <v>218.8</v>
      </c>
      <c r="T23" s="867">
        <v>0</v>
      </c>
      <c r="U23" s="464">
        <v>218.8</v>
      </c>
      <c r="V23" s="867">
        <v>0</v>
      </c>
      <c r="W23" s="464">
        <v>218.8</v>
      </c>
      <c r="X23" s="867">
        <v>0</v>
      </c>
      <c r="Y23" s="585">
        <v>5334.26</v>
      </c>
      <c r="Z23" s="867">
        <v>0.01</v>
      </c>
      <c r="AA23" s="913">
        <v>80334.259999999995</v>
      </c>
      <c r="AB23" s="914">
        <v>0.08</v>
      </c>
      <c r="AC23" s="913">
        <v>80334.259999999995</v>
      </c>
      <c r="AD23" s="914">
        <v>0.08</v>
      </c>
      <c r="AE23" s="765">
        <v>334.26</v>
      </c>
      <c r="AF23" s="914"/>
      <c r="AG23" s="765">
        <v>123754.26</v>
      </c>
      <c r="AH23" s="914">
        <v>0.12</v>
      </c>
      <c r="AI23" s="489">
        <v>123754.26</v>
      </c>
      <c r="AJ23" s="914">
        <v>0.12</v>
      </c>
      <c r="AK23" s="489">
        <v>123754.26</v>
      </c>
      <c r="AL23" s="914">
        <v>0.12</v>
      </c>
      <c r="AM23" s="765">
        <v>567495.69999999995</v>
      </c>
      <c r="AN23" s="914">
        <v>0.54</v>
      </c>
      <c r="AO23" s="489">
        <v>567495.69999999995</v>
      </c>
      <c r="AP23" s="914">
        <v>0.54</v>
      </c>
      <c r="AQ23" s="489">
        <v>567495.69999999995</v>
      </c>
      <c r="AR23" s="914">
        <v>0.54</v>
      </c>
      <c r="AS23" s="952">
        <v>567495.69999999995</v>
      </c>
      <c r="AT23" s="914">
        <v>0.54</v>
      </c>
    </row>
    <row r="24" spans="1:46" ht="15" customHeight="1">
      <c r="A24" s="553" t="s">
        <v>45</v>
      </c>
      <c r="B24" s="478" t="s">
        <v>58</v>
      </c>
      <c r="C24" s="464">
        <v>53520.55</v>
      </c>
      <c r="D24" s="502">
        <v>0.05</v>
      </c>
      <c r="E24" s="464">
        <v>0</v>
      </c>
      <c r="F24" s="502">
        <v>0</v>
      </c>
      <c r="G24" s="464">
        <v>0</v>
      </c>
      <c r="H24" s="502">
        <v>0</v>
      </c>
      <c r="I24" s="864">
        <v>0</v>
      </c>
      <c r="J24" s="865">
        <v>0</v>
      </c>
      <c r="K24" s="464">
        <v>0</v>
      </c>
      <c r="L24" s="867">
        <v>0</v>
      </c>
      <c r="M24" s="791">
        <v>0</v>
      </c>
      <c r="N24" s="867">
        <v>0</v>
      </c>
      <c r="O24" s="489">
        <v>3152483.34</v>
      </c>
      <c r="P24" s="867">
        <v>3.02</v>
      </c>
      <c r="Q24" s="489">
        <v>0</v>
      </c>
      <c r="R24" s="867">
        <v>0</v>
      </c>
      <c r="S24" s="489">
        <v>0</v>
      </c>
      <c r="T24" s="867">
        <v>0</v>
      </c>
      <c r="U24" s="489">
        <v>0</v>
      </c>
      <c r="V24" s="867">
        <v>0</v>
      </c>
      <c r="W24" s="489">
        <v>0</v>
      </c>
      <c r="X24" s="867">
        <v>0</v>
      </c>
      <c r="Y24" s="489">
        <v>0</v>
      </c>
      <c r="Z24" s="867">
        <v>0</v>
      </c>
      <c r="AA24" s="913">
        <v>0</v>
      </c>
      <c r="AB24" s="914">
        <v>0</v>
      </c>
      <c r="AC24" s="913">
        <v>0</v>
      </c>
      <c r="AD24" s="914">
        <v>0</v>
      </c>
      <c r="AE24" s="585">
        <v>0</v>
      </c>
      <c r="AF24" s="914">
        <v>0</v>
      </c>
      <c r="AG24" s="585">
        <v>0</v>
      </c>
      <c r="AH24" s="914">
        <v>0</v>
      </c>
      <c r="AI24" s="585">
        <v>0</v>
      </c>
      <c r="AJ24" s="914">
        <v>0</v>
      </c>
      <c r="AK24" s="585">
        <v>0</v>
      </c>
      <c r="AL24" s="914">
        <v>0</v>
      </c>
      <c r="AM24" s="585">
        <v>0</v>
      </c>
      <c r="AN24" s="914">
        <v>0</v>
      </c>
      <c r="AO24" s="489">
        <v>0</v>
      </c>
      <c r="AP24" s="914">
        <v>0</v>
      </c>
      <c r="AQ24" s="489">
        <v>0</v>
      </c>
      <c r="AR24" s="914">
        <v>0</v>
      </c>
      <c r="AS24" s="489">
        <v>0</v>
      </c>
      <c r="AT24" s="914">
        <v>0</v>
      </c>
    </row>
    <row r="25" spans="1:46" ht="15" customHeight="1" thickBot="1">
      <c r="A25" s="554"/>
      <c r="B25" s="478"/>
      <c r="C25" s="464">
        <v>41036.480000000003</v>
      </c>
      <c r="D25" s="502">
        <v>0.04</v>
      </c>
      <c r="E25" s="464">
        <v>41036.480000000003</v>
      </c>
      <c r="F25" s="502">
        <v>0.04</v>
      </c>
      <c r="G25" s="464">
        <v>41036.480000000003</v>
      </c>
      <c r="H25" s="502">
        <v>0.04</v>
      </c>
      <c r="I25" s="845">
        <v>5018.0600000000004</v>
      </c>
      <c r="J25" s="865">
        <v>0</v>
      </c>
      <c r="K25" s="464">
        <v>17275.060000000001</v>
      </c>
      <c r="L25" s="867">
        <v>0.02</v>
      </c>
      <c r="M25" s="791">
        <v>17275.060000000001</v>
      </c>
      <c r="N25" s="867">
        <v>0.02</v>
      </c>
      <c r="O25" s="489">
        <v>14370.82</v>
      </c>
      <c r="P25" s="867">
        <v>0.01</v>
      </c>
      <c r="Q25" s="489">
        <v>14370.82</v>
      </c>
      <c r="R25" s="867">
        <v>0.01</v>
      </c>
      <c r="S25" s="489">
        <v>14370.82</v>
      </c>
      <c r="T25" s="867">
        <v>0.01</v>
      </c>
      <c r="U25" s="832">
        <v>5466.73</v>
      </c>
      <c r="V25" s="867">
        <v>0</v>
      </c>
      <c r="W25" s="464">
        <v>5466.73</v>
      </c>
      <c r="X25" s="867">
        <v>0</v>
      </c>
      <c r="Y25" s="464">
        <v>5466.73</v>
      </c>
      <c r="Z25" s="867">
        <v>0.01</v>
      </c>
      <c r="AA25" s="915">
        <v>1118.6600000000001</v>
      </c>
      <c r="AB25" s="914">
        <v>0</v>
      </c>
      <c r="AC25" s="915">
        <v>23220.66</v>
      </c>
      <c r="AD25" s="914">
        <v>0</v>
      </c>
      <c r="AE25" s="765">
        <v>31000.66</v>
      </c>
      <c r="AF25" s="914">
        <v>0.03</v>
      </c>
      <c r="AG25" s="489">
        <v>31000.66</v>
      </c>
      <c r="AH25" s="914">
        <v>0.03</v>
      </c>
      <c r="AI25" s="489">
        <v>31000.66</v>
      </c>
      <c r="AJ25" s="914">
        <v>0.03</v>
      </c>
      <c r="AK25" s="489">
        <v>31000.66</v>
      </c>
      <c r="AL25" s="914">
        <v>0.03</v>
      </c>
      <c r="AM25" s="765">
        <v>28131.55</v>
      </c>
      <c r="AN25" s="914">
        <v>0.03</v>
      </c>
      <c r="AO25" s="489">
        <v>28131.55</v>
      </c>
      <c r="AP25" s="914">
        <v>0.03</v>
      </c>
      <c r="AQ25" s="489">
        <v>31271.93</v>
      </c>
      <c r="AR25" s="914">
        <v>0.03</v>
      </c>
      <c r="AS25" s="489">
        <v>31271.93</v>
      </c>
      <c r="AT25" s="914">
        <v>0.03</v>
      </c>
    </row>
    <row r="26" spans="1:46" ht="15" customHeight="1">
      <c r="A26" s="554" t="s">
        <v>47</v>
      </c>
      <c r="B26" s="478" t="s">
        <v>58</v>
      </c>
      <c r="C26" s="48">
        <v>3000000</v>
      </c>
      <c r="D26" s="502">
        <v>2.86</v>
      </c>
      <c r="E26" s="48">
        <v>3000000</v>
      </c>
      <c r="F26" s="502">
        <v>2.86</v>
      </c>
      <c r="G26" s="48">
        <v>3000000</v>
      </c>
      <c r="H26" s="502">
        <v>2.86</v>
      </c>
      <c r="I26" s="850">
        <v>3000000</v>
      </c>
      <c r="J26" s="867">
        <v>2.87</v>
      </c>
      <c r="K26" s="48">
        <v>3000000</v>
      </c>
      <c r="L26" s="867">
        <v>2.87</v>
      </c>
      <c r="M26" s="788">
        <v>3000000</v>
      </c>
      <c r="N26" s="867">
        <v>2.87</v>
      </c>
      <c r="O26" s="581">
        <v>0</v>
      </c>
      <c r="P26" s="867">
        <v>0</v>
      </c>
      <c r="Q26" s="888">
        <v>1000100</v>
      </c>
      <c r="R26">
        <v>0.96</v>
      </c>
      <c r="S26" s="809">
        <v>1000100</v>
      </c>
      <c r="T26">
        <v>0.95</v>
      </c>
      <c r="U26" s="809">
        <v>1000100</v>
      </c>
      <c r="V26">
        <v>0.95</v>
      </c>
      <c r="W26" s="809">
        <v>1000100</v>
      </c>
      <c r="X26">
        <v>0.95</v>
      </c>
      <c r="Y26" s="809">
        <v>1000100</v>
      </c>
      <c r="Z26">
        <v>0.96</v>
      </c>
      <c r="AA26" s="916">
        <v>1000100</v>
      </c>
      <c r="AB26" s="917">
        <v>0.96</v>
      </c>
      <c r="AC26" s="916">
        <v>1000100</v>
      </c>
      <c r="AD26" s="917">
        <v>0.96</v>
      </c>
      <c r="AE26" s="916">
        <v>1000100</v>
      </c>
      <c r="AF26" s="917">
        <v>0.95</v>
      </c>
      <c r="AG26" s="916">
        <v>1000100</v>
      </c>
      <c r="AH26" s="917">
        <v>0.95</v>
      </c>
      <c r="AI26" s="916">
        <v>1000100</v>
      </c>
      <c r="AJ26" s="917">
        <v>0.95</v>
      </c>
      <c r="AK26" s="916">
        <v>1000100</v>
      </c>
      <c r="AL26" s="917">
        <v>0.95</v>
      </c>
      <c r="AM26" s="916">
        <v>1000100</v>
      </c>
      <c r="AN26" s="917">
        <v>0.95</v>
      </c>
      <c r="AO26" s="916">
        <v>1000100</v>
      </c>
      <c r="AP26" s="917">
        <v>0.95</v>
      </c>
      <c r="AQ26" s="916">
        <v>1000100</v>
      </c>
      <c r="AR26" s="917">
        <v>0.95</v>
      </c>
      <c r="AS26" s="510">
        <v>1000100</v>
      </c>
      <c r="AT26" s="917">
        <v>0.95</v>
      </c>
    </row>
    <row r="27" spans="1:46" ht="15" customHeight="1">
      <c r="A27" s="553" t="s">
        <v>47</v>
      </c>
      <c r="B27" s="478" t="s">
        <v>58</v>
      </c>
      <c r="C27" s="585">
        <v>2860000</v>
      </c>
      <c r="D27" s="502">
        <v>2.73</v>
      </c>
      <c r="E27" s="489">
        <v>2860000</v>
      </c>
      <c r="F27" s="502">
        <v>2.73</v>
      </c>
      <c r="G27" s="489">
        <v>2860000</v>
      </c>
      <c r="H27" s="502">
        <v>2.72</v>
      </c>
      <c r="I27" s="847">
        <v>455000</v>
      </c>
      <c r="J27" s="867">
        <v>0.44</v>
      </c>
      <c r="K27" s="585">
        <v>456000</v>
      </c>
      <c r="L27" s="867">
        <v>0.44</v>
      </c>
      <c r="M27" s="789">
        <v>456000</v>
      </c>
      <c r="N27" s="867">
        <v>0.44</v>
      </c>
      <c r="O27" s="489">
        <v>456000</v>
      </c>
      <c r="P27" s="867">
        <v>0.44</v>
      </c>
      <c r="Q27" s="489">
        <v>456000</v>
      </c>
      <c r="R27">
        <v>0.44</v>
      </c>
      <c r="S27" s="585">
        <v>641000</v>
      </c>
      <c r="T27">
        <v>0.61</v>
      </c>
      <c r="U27" s="585">
        <v>641000</v>
      </c>
      <c r="V27">
        <v>0.61</v>
      </c>
      <c r="W27" s="585">
        <v>641000</v>
      </c>
      <c r="X27">
        <v>0.61</v>
      </c>
      <c r="Y27" s="585">
        <v>641000</v>
      </c>
      <c r="Z27">
        <v>0.61</v>
      </c>
      <c r="AA27" s="913">
        <v>641000</v>
      </c>
      <c r="AB27" s="917">
        <v>0.61</v>
      </c>
      <c r="AC27" s="913">
        <v>641000</v>
      </c>
      <c r="AD27" s="917">
        <v>0.61</v>
      </c>
      <c r="AE27" s="913">
        <v>721000</v>
      </c>
      <c r="AF27" s="917">
        <v>0.69</v>
      </c>
      <c r="AG27" s="913">
        <v>721000</v>
      </c>
      <c r="AH27" s="917">
        <v>0.69</v>
      </c>
      <c r="AI27" s="913">
        <v>721000</v>
      </c>
      <c r="AJ27" s="917">
        <v>0.69</v>
      </c>
      <c r="AK27" s="913">
        <v>721000</v>
      </c>
      <c r="AL27" s="917">
        <v>0.69</v>
      </c>
      <c r="AM27" s="913">
        <v>721000</v>
      </c>
      <c r="AN27" s="917">
        <v>0.69</v>
      </c>
      <c r="AO27" s="913">
        <v>721000</v>
      </c>
      <c r="AP27" s="917">
        <v>0.69</v>
      </c>
      <c r="AQ27" s="913">
        <v>721000</v>
      </c>
      <c r="AR27" s="917">
        <v>0.69</v>
      </c>
      <c r="AS27" s="913">
        <v>721000</v>
      </c>
      <c r="AT27" s="917">
        <v>0.69</v>
      </c>
    </row>
    <row r="28" spans="1:46" ht="15" customHeight="1">
      <c r="A28" s="553" t="s">
        <v>47</v>
      </c>
      <c r="B28" s="478" t="s">
        <v>100</v>
      </c>
      <c r="C28" s="581">
        <v>0</v>
      </c>
      <c r="D28" s="502">
        <v>0</v>
      </c>
      <c r="E28" s="581">
        <v>0</v>
      </c>
      <c r="F28" s="502">
        <v>0</v>
      </c>
      <c r="G28" s="581">
        <v>0</v>
      </c>
      <c r="H28" s="502">
        <v>0</v>
      </c>
      <c r="I28" s="866">
        <v>0</v>
      </c>
      <c r="J28" s="868">
        <v>0</v>
      </c>
      <c r="K28" s="581">
        <v>0</v>
      </c>
      <c r="L28" s="868">
        <v>0</v>
      </c>
      <c r="M28" s="581">
        <v>0</v>
      </c>
      <c r="N28" s="868">
        <v>0</v>
      </c>
      <c r="O28" s="581">
        <v>0</v>
      </c>
      <c r="P28" s="868">
        <v>0</v>
      </c>
      <c r="Q28" s="782">
        <v>2000000</v>
      </c>
      <c r="R28">
        <v>1.91</v>
      </c>
      <c r="S28" s="782">
        <v>2000000</v>
      </c>
      <c r="T28">
        <v>1.91</v>
      </c>
      <c r="U28" s="782">
        <v>2000000</v>
      </c>
      <c r="V28">
        <v>1.91</v>
      </c>
      <c r="W28" s="782">
        <v>2000000</v>
      </c>
      <c r="X28">
        <v>1.91</v>
      </c>
      <c r="Y28" s="782">
        <v>2000000</v>
      </c>
      <c r="Z28">
        <v>1.91</v>
      </c>
      <c r="AA28" s="918">
        <v>2000000</v>
      </c>
      <c r="AB28" s="917">
        <v>1.91</v>
      </c>
      <c r="AC28" s="918">
        <v>2000000</v>
      </c>
      <c r="AD28" s="917">
        <v>1.91</v>
      </c>
      <c r="AE28" s="918">
        <v>2000000</v>
      </c>
      <c r="AF28" s="917">
        <v>1.91</v>
      </c>
      <c r="AG28" s="918">
        <v>2000000</v>
      </c>
      <c r="AH28" s="917">
        <v>1.91</v>
      </c>
      <c r="AI28" s="918">
        <v>2000000</v>
      </c>
      <c r="AJ28" s="917">
        <v>1.9</v>
      </c>
      <c r="AK28" s="918">
        <v>2000000</v>
      </c>
      <c r="AL28" s="917">
        <v>1.9</v>
      </c>
      <c r="AM28" s="918">
        <v>2000000</v>
      </c>
      <c r="AN28" s="917">
        <v>1.9</v>
      </c>
      <c r="AO28" s="918">
        <v>2000000</v>
      </c>
      <c r="AP28" s="917">
        <v>1.9</v>
      </c>
      <c r="AQ28" s="918">
        <v>2000000</v>
      </c>
      <c r="AR28" s="917">
        <v>1.9</v>
      </c>
      <c r="AS28" s="918">
        <v>2000000</v>
      </c>
      <c r="AT28" s="917">
        <v>1.9</v>
      </c>
    </row>
    <row r="29" spans="1:46" ht="15" customHeight="1">
      <c r="A29" s="554" t="s">
        <v>47</v>
      </c>
      <c r="B29" s="478" t="s">
        <v>103</v>
      </c>
      <c r="C29" s="479">
        <v>5000000</v>
      </c>
      <c r="D29" s="502">
        <v>4.7699999999999996</v>
      </c>
      <c r="E29" s="479">
        <v>5000000</v>
      </c>
      <c r="F29" s="502">
        <v>4.7699999999999996</v>
      </c>
      <c r="G29" s="479">
        <v>5000000</v>
      </c>
      <c r="H29" s="502">
        <v>4.76</v>
      </c>
      <c r="I29" s="842">
        <v>5000000</v>
      </c>
      <c r="J29" s="867">
        <v>4.79</v>
      </c>
      <c r="K29" s="479">
        <v>5000000</v>
      </c>
      <c r="L29" s="867">
        <v>4.78</v>
      </c>
      <c r="M29" s="510">
        <v>5000000</v>
      </c>
      <c r="N29" s="867">
        <v>4.79</v>
      </c>
      <c r="O29" s="479">
        <v>5000000</v>
      </c>
      <c r="P29" s="867">
        <v>4.78</v>
      </c>
      <c r="Q29" s="479">
        <v>5000000</v>
      </c>
      <c r="R29">
        <v>4.78</v>
      </c>
      <c r="S29" s="479">
        <v>5000000</v>
      </c>
      <c r="T29">
        <v>4.7699999999999996</v>
      </c>
      <c r="U29" s="479">
        <v>5000000</v>
      </c>
      <c r="V29">
        <v>4.7699999999999996</v>
      </c>
      <c r="W29" s="479">
        <v>5000000</v>
      </c>
      <c r="X29">
        <v>4.7699999999999996</v>
      </c>
      <c r="Y29" s="479">
        <v>5000000</v>
      </c>
      <c r="Z29">
        <v>4.7699999999999996</v>
      </c>
      <c r="AA29" s="916">
        <v>5000000</v>
      </c>
      <c r="AB29" s="917">
        <v>4.7699999999999996</v>
      </c>
      <c r="AC29" s="916">
        <v>5000000</v>
      </c>
      <c r="AD29" s="917">
        <v>4.7699999999999996</v>
      </c>
      <c r="AE29" s="916">
        <v>5000000</v>
      </c>
      <c r="AF29" s="917">
        <v>4.76</v>
      </c>
      <c r="AG29" s="916">
        <v>5000000</v>
      </c>
      <c r="AH29" s="917">
        <v>4.76</v>
      </c>
      <c r="AI29" s="916">
        <v>5000000</v>
      </c>
      <c r="AJ29" s="917">
        <v>4.76</v>
      </c>
      <c r="AK29" s="916">
        <v>5000000</v>
      </c>
      <c r="AL29" s="917">
        <v>4.76</v>
      </c>
      <c r="AM29" s="916">
        <v>5000000</v>
      </c>
      <c r="AN29" s="917">
        <v>4.76</v>
      </c>
      <c r="AO29" s="916">
        <v>5000000</v>
      </c>
      <c r="AP29" s="917">
        <v>4.76</v>
      </c>
      <c r="AQ29" s="916">
        <v>5000000</v>
      </c>
      <c r="AR29" s="917">
        <v>4.75</v>
      </c>
      <c r="AS29" s="916">
        <v>5000000</v>
      </c>
      <c r="AT29" s="917">
        <v>4.75</v>
      </c>
    </row>
    <row r="30" spans="1:46" ht="15">
      <c r="A30" s="554" t="s">
        <v>47</v>
      </c>
      <c r="B30" s="478" t="s">
        <v>103</v>
      </c>
      <c r="C30" s="479">
        <v>3000000</v>
      </c>
      <c r="D30" s="502">
        <v>2.8699999999999997</v>
      </c>
      <c r="E30" s="479">
        <v>3000000</v>
      </c>
      <c r="F30" s="502">
        <v>2.86</v>
      </c>
      <c r="G30" s="479">
        <v>3000000</v>
      </c>
      <c r="H30" s="502">
        <v>2.86</v>
      </c>
      <c r="I30" s="842">
        <v>3000000</v>
      </c>
      <c r="J30" s="867">
        <v>2.87</v>
      </c>
      <c r="K30" s="479">
        <v>3000000</v>
      </c>
      <c r="L30" s="867">
        <v>2.87</v>
      </c>
      <c r="M30" s="510">
        <v>3000000</v>
      </c>
      <c r="N30" s="867">
        <v>2.87</v>
      </c>
      <c r="O30" s="479">
        <v>3000000</v>
      </c>
      <c r="P30" s="867">
        <v>2.87</v>
      </c>
      <c r="Q30" s="479">
        <v>3000000</v>
      </c>
      <c r="R30">
        <v>2.87</v>
      </c>
      <c r="S30" s="479">
        <v>3000000</v>
      </c>
      <c r="T30">
        <v>2.86</v>
      </c>
      <c r="U30" s="479">
        <v>3000000</v>
      </c>
      <c r="V30">
        <v>2.86</v>
      </c>
      <c r="W30" s="479">
        <v>3000000</v>
      </c>
      <c r="X30">
        <v>2.86</v>
      </c>
      <c r="Y30" s="479">
        <v>3000000</v>
      </c>
      <c r="Z30">
        <v>2.86</v>
      </c>
      <c r="AA30" s="916">
        <v>3000000</v>
      </c>
      <c r="AB30" s="917">
        <v>2.86</v>
      </c>
      <c r="AC30" s="916">
        <v>3000000</v>
      </c>
      <c r="AD30" s="917">
        <v>2.86</v>
      </c>
      <c r="AE30" s="916">
        <v>3000000</v>
      </c>
      <c r="AF30" s="917">
        <v>2.86</v>
      </c>
      <c r="AG30" s="916">
        <v>3000000</v>
      </c>
      <c r="AH30" s="917">
        <v>2.86</v>
      </c>
      <c r="AI30" s="916">
        <v>3000000</v>
      </c>
      <c r="AJ30" s="917">
        <v>2.86</v>
      </c>
      <c r="AK30" s="916">
        <v>3000000</v>
      </c>
      <c r="AL30" s="917">
        <v>2.86</v>
      </c>
      <c r="AM30" s="916">
        <v>3000000</v>
      </c>
      <c r="AN30" s="917">
        <v>2.86</v>
      </c>
      <c r="AO30" s="916">
        <v>3000000</v>
      </c>
      <c r="AP30" s="917">
        <v>2.86</v>
      </c>
      <c r="AQ30" s="916">
        <v>3000000</v>
      </c>
      <c r="AR30" s="917">
        <v>2.85</v>
      </c>
      <c r="AS30" s="916">
        <v>3000000</v>
      </c>
      <c r="AT30" s="917">
        <v>2.85</v>
      </c>
    </row>
    <row r="31" spans="1:46" ht="15" customHeight="1">
      <c r="A31" s="554" t="s">
        <v>47</v>
      </c>
      <c r="B31" s="478" t="s">
        <v>95</v>
      </c>
      <c r="C31" s="781">
        <v>5000000</v>
      </c>
      <c r="D31" s="502">
        <v>4.7699999999999996</v>
      </c>
      <c r="E31" s="781">
        <v>5000000</v>
      </c>
      <c r="F31" s="502">
        <v>4.7699999999999996</v>
      </c>
      <c r="G31" s="781">
        <v>5000000</v>
      </c>
      <c r="H31" s="502">
        <v>4.76</v>
      </c>
      <c r="I31" s="849">
        <v>5000000</v>
      </c>
      <c r="J31" s="867">
        <v>4.79</v>
      </c>
      <c r="K31" s="781">
        <v>5000000</v>
      </c>
      <c r="L31" s="867">
        <v>4.78</v>
      </c>
      <c r="M31" s="787">
        <v>5000000</v>
      </c>
      <c r="N31" s="867">
        <v>4.79</v>
      </c>
      <c r="O31" s="781">
        <v>5000000</v>
      </c>
      <c r="P31" s="867">
        <v>4.78</v>
      </c>
      <c r="Q31" s="781">
        <v>5000000</v>
      </c>
      <c r="R31">
        <v>4.78</v>
      </c>
      <c r="S31" s="781">
        <v>5000000</v>
      </c>
      <c r="T31">
        <v>4.7699999999999996</v>
      </c>
      <c r="U31" s="781">
        <v>5000000</v>
      </c>
      <c r="V31">
        <v>4.7699999999999996</v>
      </c>
      <c r="W31" s="781">
        <v>5000000</v>
      </c>
      <c r="X31">
        <v>4.7699999999999996</v>
      </c>
      <c r="Y31" s="781">
        <v>5000000</v>
      </c>
      <c r="Z31">
        <v>4.7699999999999996</v>
      </c>
      <c r="AA31" s="919">
        <v>5000000</v>
      </c>
      <c r="AB31" s="917">
        <v>4.7699999999999996</v>
      </c>
      <c r="AC31" s="919">
        <v>5000000</v>
      </c>
      <c r="AD31" s="917">
        <v>4.7699999999999996</v>
      </c>
      <c r="AE31" s="919">
        <v>5000000</v>
      </c>
      <c r="AF31" s="917">
        <v>4.7699999999999996</v>
      </c>
      <c r="AG31" s="919">
        <v>5000000</v>
      </c>
      <c r="AH31" s="917">
        <v>4.7699999999999996</v>
      </c>
      <c r="AI31" s="919">
        <v>5000000</v>
      </c>
      <c r="AJ31" s="917">
        <v>4.76</v>
      </c>
      <c r="AK31" s="919">
        <v>5000000</v>
      </c>
      <c r="AL31" s="917">
        <v>4.76</v>
      </c>
      <c r="AM31" s="919">
        <v>5000000</v>
      </c>
      <c r="AN31" s="917">
        <v>4.76</v>
      </c>
      <c r="AO31" s="919">
        <v>5000000</v>
      </c>
      <c r="AP31" s="917">
        <v>4.76</v>
      </c>
      <c r="AQ31" s="919">
        <v>5000000</v>
      </c>
      <c r="AR31" s="917">
        <v>4.75</v>
      </c>
      <c r="AS31" s="919">
        <v>5000000</v>
      </c>
      <c r="AT31" s="917">
        <v>4.75</v>
      </c>
    </row>
    <row r="32" spans="1:46" ht="15">
      <c r="A32" s="554" t="s">
        <v>47</v>
      </c>
      <c r="B32" s="478" t="s">
        <v>95</v>
      </c>
      <c r="C32" s="781">
        <v>1500000</v>
      </c>
      <c r="D32" s="502">
        <v>1.43</v>
      </c>
      <c r="E32" s="781">
        <v>1500000</v>
      </c>
      <c r="F32" s="502">
        <v>1.43</v>
      </c>
      <c r="G32" s="781">
        <v>1500000</v>
      </c>
      <c r="H32" s="502">
        <v>1.43</v>
      </c>
      <c r="I32" s="849">
        <v>1500000</v>
      </c>
      <c r="J32" s="867">
        <v>1.43</v>
      </c>
      <c r="K32" s="781">
        <v>1500000</v>
      </c>
      <c r="L32" s="867">
        <v>1.44</v>
      </c>
      <c r="M32" s="781">
        <v>1500000</v>
      </c>
      <c r="N32" s="867">
        <v>1.44</v>
      </c>
      <c r="O32" s="781">
        <v>1500000</v>
      </c>
      <c r="P32" s="867">
        <v>1.44</v>
      </c>
      <c r="Q32" s="781">
        <v>1500000</v>
      </c>
      <c r="R32">
        <v>1.44</v>
      </c>
      <c r="S32" s="781">
        <v>1500000</v>
      </c>
      <c r="T32">
        <v>1.43</v>
      </c>
      <c r="U32" s="781">
        <v>1500000</v>
      </c>
      <c r="V32">
        <v>1.43</v>
      </c>
      <c r="W32" s="781">
        <v>1500000</v>
      </c>
      <c r="X32">
        <v>1.43</v>
      </c>
      <c r="Y32" s="781">
        <v>1500000</v>
      </c>
      <c r="Z32">
        <v>1.43</v>
      </c>
      <c r="AA32" s="919">
        <v>1500000</v>
      </c>
      <c r="AB32" s="917">
        <v>1.43</v>
      </c>
      <c r="AC32" s="919">
        <v>1500000</v>
      </c>
      <c r="AD32" s="917">
        <v>1.43</v>
      </c>
      <c r="AE32" s="919">
        <v>1500000</v>
      </c>
      <c r="AF32" s="917">
        <v>1.43</v>
      </c>
      <c r="AG32" s="919">
        <v>1500000</v>
      </c>
      <c r="AH32" s="917">
        <v>1.43</v>
      </c>
      <c r="AI32" s="919">
        <v>1500000</v>
      </c>
      <c r="AJ32" s="917">
        <v>1.43</v>
      </c>
      <c r="AK32" s="919">
        <v>1500000</v>
      </c>
      <c r="AL32" s="917">
        <v>1.42</v>
      </c>
      <c r="AM32" s="919">
        <v>1500000</v>
      </c>
      <c r="AN32" s="917">
        <v>1.42</v>
      </c>
      <c r="AO32" s="919">
        <v>1500000</v>
      </c>
      <c r="AP32" s="917">
        <v>1.42</v>
      </c>
      <c r="AQ32" s="919">
        <v>1500000</v>
      </c>
      <c r="AR32" s="917">
        <v>1.42</v>
      </c>
      <c r="AS32" s="919">
        <v>1500000</v>
      </c>
      <c r="AT32" s="917">
        <v>1.42</v>
      </c>
    </row>
    <row r="33" spans="1:46" ht="15">
      <c r="A33" s="554" t="s">
        <v>47</v>
      </c>
      <c r="B33" s="478" t="s">
        <v>125</v>
      </c>
      <c r="C33" s="781">
        <v>4500000</v>
      </c>
      <c r="D33" s="502">
        <v>4.3</v>
      </c>
      <c r="E33" s="781">
        <v>4500000</v>
      </c>
      <c r="F33" s="502">
        <v>4.29</v>
      </c>
      <c r="G33" s="781">
        <v>4500000</v>
      </c>
      <c r="H33" s="502">
        <v>4.29</v>
      </c>
      <c r="I33" s="849">
        <v>4500000</v>
      </c>
      <c r="J33" s="867">
        <v>4.3099999999999996</v>
      </c>
      <c r="K33" s="781">
        <v>4500000</v>
      </c>
      <c r="L33" s="867">
        <v>4.3099999999999996</v>
      </c>
      <c r="M33" s="787">
        <v>4500000</v>
      </c>
      <c r="N33" s="867">
        <v>4.3099999999999996</v>
      </c>
      <c r="O33" s="781">
        <v>4500000</v>
      </c>
      <c r="P33" s="867">
        <v>4.3099999999999996</v>
      </c>
      <c r="Q33" s="781">
        <v>4500000</v>
      </c>
      <c r="R33">
        <v>4.3099999999999996</v>
      </c>
      <c r="S33" s="781">
        <v>4500000</v>
      </c>
      <c r="T33">
        <v>4.3</v>
      </c>
      <c r="U33" s="781">
        <v>4500000</v>
      </c>
      <c r="V33">
        <v>4.3</v>
      </c>
      <c r="W33" s="781">
        <v>4500000</v>
      </c>
      <c r="X33">
        <v>4.3</v>
      </c>
      <c r="Y33" s="781">
        <v>4500000</v>
      </c>
      <c r="Z33">
        <v>4.3</v>
      </c>
      <c r="AA33" s="919">
        <v>4500000</v>
      </c>
      <c r="AB33" s="917">
        <v>4.29</v>
      </c>
      <c r="AC33" s="919">
        <v>4500000</v>
      </c>
      <c r="AD33" s="917">
        <v>4.29</v>
      </c>
      <c r="AE33" s="919">
        <v>4500000</v>
      </c>
      <c r="AF33" s="917">
        <v>4.29</v>
      </c>
      <c r="AG33" s="919">
        <v>4500000</v>
      </c>
      <c r="AH33" s="917">
        <v>4.29</v>
      </c>
      <c r="AI33" s="919">
        <v>4500000</v>
      </c>
      <c r="AJ33" s="917">
        <v>4.28</v>
      </c>
      <c r="AK33" s="919">
        <v>4500000</v>
      </c>
      <c r="AL33" s="917">
        <v>4.28</v>
      </c>
      <c r="AM33" s="919">
        <v>4500000</v>
      </c>
      <c r="AN33" s="917">
        <v>4.28</v>
      </c>
      <c r="AO33" s="919">
        <v>4500000</v>
      </c>
      <c r="AP33" s="917">
        <v>4.28</v>
      </c>
      <c r="AQ33" s="919">
        <v>4500000</v>
      </c>
      <c r="AR33" s="917">
        <v>4.28</v>
      </c>
      <c r="AS33" s="919">
        <v>4500000</v>
      </c>
      <c r="AT33" s="917">
        <v>4.28</v>
      </c>
    </row>
    <row r="34" spans="1:46" ht="15">
      <c r="A34" s="554" t="s">
        <v>47</v>
      </c>
      <c r="B34" s="478" t="s">
        <v>125</v>
      </c>
      <c r="C34" s="48">
        <v>1000000</v>
      </c>
      <c r="D34" s="502">
        <v>0.96</v>
      </c>
      <c r="E34" s="48">
        <v>1000000</v>
      </c>
      <c r="F34" s="502">
        <v>0.95</v>
      </c>
      <c r="G34" s="48">
        <v>1000000</v>
      </c>
      <c r="H34" s="502">
        <v>0.95</v>
      </c>
      <c r="I34" s="850">
        <v>1000000</v>
      </c>
      <c r="J34" s="867">
        <v>0.96</v>
      </c>
      <c r="K34" s="48">
        <v>1000000</v>
      </c>
      <c r="L34" s="867">
        <v>0.96</v>
      </c>
      <c r="M34" s="788">
        <v>1000000</v>
      </c>
      <c r="N34" s="867">
        <v>0.96</v>
      </c>
      <c r="O34" s="48">
        <v>1000000</v>
      </c>
      <c r="P34" s="867">
        <v>0.96</v>
      </c>
      <c r="Q34" s="48">
        <v>1000000</v>
      </c>
      <c r="R34">
        <v>0.96</v>
      </c>
      <c r="S34" s="48">
        <v>1000000</v>
      </c>
      <c r="T34">
        <v>0.96</v>
      </c>
      <c r="U34" s="48">
        <v>1000000</v>
      </c>
      <c r="V34">
        <v>0.96</v>
      </c>
      <c r="W34" s="48">
        <v>1000000</v>
      </c>
      <c r="X34">
        <v>0.96</v>
      </c>
      <c r="Y34" s="48">
        <v>1000000</v>
      </c>
      <c r="Z34">
        <v>0.95</v>
      </c>
      <c r="AA34" s="920">
        <v>1000000</v>
      </c>
      <c r="AB34" s="917">
        <v>0.95</v>
      </c>
      <c r="AC34" s="920">
        <v>1000000</v>
      </c>
      <c r="AD34" s="917">
        <v>0.95</v>
      </c>
      <c r="AE34" s="920">
        <v>1000000</v>
      </c>
      <c r="AF34" s="917">
        <v>0.95</v>
      </c>
      <c r="AG34" s="920">
        <v>1000000</v>
      </c>
      <c r="AH34" s="917">
        <v>0.95</v>
      </c>
      <c r="AI34" s="920">
        <v>1000000</v>
      </c>
      <c r="AJ34" s="917">
        <v>0.95</v>
      </c>
      <c r="AK34" s="920">
        <v>1000000</v>
      </c>
      <c r="AL34" s="917">
        <v>0.95</v>
      </c>
      <c r="AM34" s="920">
        <v>1000000</v>
      </c>
      <c r="AN34" s="917">
        <v>0.95</v>
      </c>
      <c r="AO34" s="920">
        <v>1000000</v>
      </c>
      <c r="AP34" s="917">
        <v>0.95</v>
      </c>
      <c r="AQ34" s="920">
        <v>1000000</v>
      </c>
      <c r="AR34" s="917">
        <v>0.95</v>
      </c>
      <c r="AS34" s="920">
        <v>1000000</v>
      </c>
      <c r="AT34" s="917">
        <v>0.95</v>
      </c>
    </row>
    <row r="35" spans="1:46" ht="15">
      <c r="A35" s="554" t="s">
        <v>47</v>
      </c>
      <c r="B35" s="478" t="s">
        <v>125</v>
      </c>
      <c r="C35" s="48">
        <v>1000000</v>
      </c>
      <c r="D35" s="502">
        <v>0.96</v>
      </c>
      <c r="E35" s="48">
        <v>1000000</v>
      </c>
      <c r="F35" s="502">
        <v>0.95</v>
      </c>
      <c r="G35" s="48">
        <v>1000000</v>
      </c>
      <c r="H35" s="502">
        <v>0.95</v>
      </c>
      <c r="I35" s="850">
        <v>1000000</v>
      </c>
      <c r="J35" s="867">
        <v>0.96</v>
      </c>
      <c r="K35" s="48">
        <v>1000000</v>
      </c>
      <c r="L35" s="867">
        <v>0.96</v>
      </c>
      <c r="M35" s="788">
        <v>1000000</v>
      </c>
      <c r="N35" s="867">
        <v>0.96</v>
      </c>
      <c r="O35" s="48">
        <v>1000000</v>
      </c>
      <c r="P35" s="867">
        <v>0.96</v>
      </c>
      <c r="Q35" s="48">
        <v>1000000</v>
      </c>
      <c r="R35">
        <v>0.96</v>
      </c>
      <c r="S35" s="48">
        <v>1000000</v>
      </c>
      <c r="T35">
        <v>0.96</v>
      </c>
      <c r="U35" s="48">
        <v>1000000</v>
      </c>
      <c r="V35">
        <v>0.96</v>
      </c>
      <c r="W35" s="48">
        <v>1000000</v>
      </c>
      <c r="X35">
        <v>0.96</v>
      </c>
      <c r="Y35" s="48">
        <v>1000000</v>
      </c>
      <c r="Z35">
        <v>0.95</v>
      </c>
      <c r="AA35" s="920">
        <v>1000000</v>
      </c>
      <c r="AB35" s="917">
        <v>0.95</v>
      </c>
      <c r="AC35" s="920">
        <v>1000000</v>
      </c>
      <c r="AD35" s="917">
        <v>0.95</v>
      </c>
      <c r="AE35" s="920">
        <v>1000000</v>
      </c>
      <c r="AF35" s="917">
        <v>0.95</v>
      </c>
      <c r="AG35" s="920">
        <v>1000000</v>
      </c>
      <c r="AH35" s="917">
        <v>0.95</v>
      </c>
      <c r="AI35" s="920">
        <v>1000000</v>
      </c>
      <c r="AJ35" s="917">
        <v>0.95</v>
      </c>
      <c r="AK35" s="920">
        <v>1000000</v>
      </c>
      <c r="AL35" s="917">
        <v>0.95</v>
      </c>
      <c r="AM35" s="920">
        <v>1000000</v>
      </c>
      <c r="AN35" s="917">
        <v>0.95</v>
      </c>
      <c r="AO35" s="920">
        <v>1000000</v>
      </c>
      <c r="AP35" s="917">
        <v>0.95</v>
      </c>
      <c r="AQ35" s="920">
        <v>1000000</v>
      </c>
      <c r="AR35" s="917">
        <v>0.95</v>
      </c>
      <c r="AS35" s="920">
        <v>1000000</v>
      </c>
      <c r="AT35" s="917">
        <v>0.95</v>
      </c>
    </row>
    <row r="36" spans="1:46" thickBot="1">
      <c r="A36" s="848"/>
      <c r="B36" s="478"/>
      <c r="C36" s="302"/>
      <c r="D36" s="843"/>
      <c r="E36" s="302"/>
      <c r="F36" s="843"/>
      <c r="G36" s="302"/>
      <c r="H36" s="843"/>
      <c r="I36" s="866">
        <v>2000000</v>
      </c>
      <c r="J36" s="869">
        <v>1.92</v>
      </c>
      <c r="K36" s="581">
        <v>2000000</v>
      </c>
      <c r="L36" s="869">
        <v>1.91</v>
      </c>
      <c r="M36" s="581">
        <v>2000000</v>
      </c>
      <c r="N36" s="869">
        <v>1.91</v>
      </c>
      <c r="O36" s="48">
        <v>2000000</v>
      </c>
      <c r="P36" s="869">
        <v>1.9</v>
      </c>
      <c r="Q36" s="48">
        <v>2000000</v>
      </c>
      <c r="R36">
        <v>1.91</v>
      </c>
      <c r="S36" s="48">
        <v>2000000</v>
      </c>
      <c r="T36">
        <v>1.91</v>
      </c>
      <c r="U36" s="48">
        <v>2000000</v>
      </c>
      <c r="V36">
        <v>1.91</v>
      </c>
      <c r="W36" s="48">
        <v>2000000</v>
      </c>
      <c r="X36">
        <v>1.91</v>
      </c>
      <c r="Y36" s="48">
        <v>2000000</v>
      </c>
      <c r="Z36">
        <v>1.91</v>
      </c>
      <c r="AA36" s="920">
        <v>2000000</v>
      </c>
      <c r="AB36" s="917">
        <v>1.91</v>
      </c>
      <c r="AC36" s="920">
        <v>2000000</v>
      </c>
      <c r="AD36" s="917">
        <v>1.91</v>
      </c>
      <c r="AE36" s="920">
        <v>2000000</v>
      </c>
      <c r="AF36" s="917">
        <v>1.91</v>
      </c>
      <c r="AG36" s="920">
        <v>2000000</v>
      </c>
      <c r="AH36" s="917">
        <v>1.91</v>
      </c>
      <c r="AI36" s="920">
        <v>2000000</v>
      </c>
      <c r="AJ36" s="917">
        <v>1.91</v>
      </c>
      <c r="AK36" s="920">
        <v>2000000</v>
      </c>
      <c r="AL36" s="917">
        <v>1.9</v>
      </c>
      <c r="AM36" s="920">
        <v>2000000</v>
      </c>
      <c r="AN36" s="917">
        <v>1.9</v>
      </c>
      <c r="AO36" s="920">
        <v>2000000</v>
      </c>
      <c r="AP36" s="917">
        <v>1.9</v>
      </c>
      <c r="AQ36" s="920">
        <v>2000000</v>
      </c>
      <c r="AR36" s="917">
        <v>1.9</v>
      </c>
      <c r="AS36" s="920">
        <v>2000000</v>
      </c>
      <c r="AT36" s="917">
        <v>1.9</v>
      </c>
    </row>
    <row r="37" spans="1:46" ht="16.5" thickBot="1">
      <c r="A37" s="1028" t="s">
        <v>111</v>
      </c>
      <c r="B37" s="1052"/>
      <c r="C37" s="601">
        <f t="shared" ref="C37:E37" si="66">SUM(C23:C35)</f>
        <v>27021982.879999999</v>
      </c>
      <c r="D37" s="601">
        <f>SUM(D23:D35)</f>
        <v>25.8</v>
      </c>
      <c r="E37" s="601">
        <f t="shared" si="66"/>
        <v>27021982.879999999</v>
      </c>
      <c r="F37" s="601">
        <f>SUM(F23:F35)</f>
        <v>25.759999999999998</v>
      </c>
      <c r="G37" s="601">
        <f t="shared" ref="G37" si="67">SUM(G23:G35)</f>
        <v>27021982.879999999</v>
      </c>
      <c r="H37" s="601">
        <f>SUM(H23:H35)</f>
        <v>25.729999999999997</v>
      </c>
      <c r="I37" s="601">
        <f t="shared" ref="I37:N37" si="68">SUM(I23:I36)</f>
        <v>26460964.460000001</v>
      </c>
      <c r="J37" s="601">
        <f t="shared" si="68"/>
        <v>25.339999999999996</v>
      </c>
      <c r="K37" s="601">
        <f t="shared" si="68"/>
        <v>26474434.199999999</v>
      </c>
      <c r="L37" s="601">
        <f t="shared" si="68"/>
        <v>25.340000000000003</v>
      </c>
      <c r="M37" s="601">
        <f t="shared" si="68"/>
        <v>26498445.219999999</v>
      </c>
      <c r="N37" s="601">
        <f t="shared" si="68"/>
        <v>25.380000000000003</v>
      </c>
      <c r="O37" s="601">
        <f t="shared" ref="O37:Q37" si="69">SUM(O23:O36)</f>
        <v>26655689.619999997</v>
      </c>
      <c r="P37" s="601">
        <f t="shared" ref="P37:R37" si="70">SUM(P23:P36)</f>
        <v>25.5</v>
      </c>
      <c r="Q37" s="601">
        <f t="shared" si="69"/>
        <v>26655689.620000001</v>
      </c>
      <c r="R37" s="601">
        <f t="shared" si="70"/>
        <v>25.510000000000005</v>
      </c>
      <c r="S37" s="601">
        <f t="shared" ref="S37:Z37" si="71">SUM(S23:S36)</f>
        <v>26655689.620000001</v>
      </c>
      <c r="T37" s="601">
        <f t="shared" si="71"/>
        <v>25.44</v>
      </c>
      <c r="U37" s="601">
        <f t="shared" si="71"/>
        <v>26646785.530000001</v>
      </c>
      <c r="V37" s="601">
        <f t="shared" si="71"/>
        <v>25.43</v>
      </c>
      <c r="W37" s="601">
        <f t="shared" si="71"/>
        <v>26646785.530000001</v>
      </c>
      <c r="X37" s="601">
        <f t="shared" si="71"/>
        <v>25.43</v>
      </c>
      <c r="Y37" s="601">
        <f t="shared" si="71"/>
        <v>26651900.990000002</v>
      </c>
      <c r="Z37" s="601">
        <f t="shared" si="71"/>
        <v>25.439999999999998</v>
      </c>
      <c r="AA37" s="95">
        <f t="shared" ref="AA37:AC37" si="72">SUM(AA23:AA36)</f>
        <v>26722552.920000002</v>
      </c>
      <c r="AB37" s="95">
        <f t="shared" ref="AB37:AE37" si="73">SUM(AB23:AB36)</f>
        <v>25.489999999999995</v>
      </c>
      <c r="AC37" s="95">
        <f t="shared" si="72"/>
        <v>26744654.920000002</v>
      </c>
      <c r="AD37" s="95">
        <f t="shared" si="73"/>
        <v>25.489999999999995</v>
      </c>
      <c r="AE37" s="95">
        <f t="shared" si="73"/>
        <v>26752434.920000002</v>
      </c>
      <c r="AF37" s="95">
        <f t="shared" ref="AF37:AG37" si="74">SUM(AF23:AF36)</f>
        <v>25.499999999999996</v>
      </c>
      <c r="AG37" s="95">
        <f t="shared" si="74"/>
        <v>26875854.920000002</v>
      </c>
      <c r="AH37" s="95">
        <f t="shared" ref="AH37:AI37" si="75">SUM(AH23:AH36)</f>
        <v>25.619999999999994</v>
      </c>
      <c r="AI37" s="95">
        <f t="shared" si="75"/>
        <v>26875854.920000002</v>
      </c>
      <c r="AJ37" s="95">
        <f t="shared" ref="AJ37:AK37" si="76">SUM(AJ23:AJ36)</f>
        <v>25.59</v>
      </c>
      <c r="AK37" s="95">
        <f t="shared" si="76"/>
        <v>26875854.920000002</v>
      </c>
      <c r="AL37" s="95">
        <f t="shared" ref="AL37:AM37" si="77">SUM(AL23:AL36)</f>
        <v>25.57</v>
      </c>
      <c r="AM37" s="95">
        <f t="shared" si="77"/>
        <v>27316727.25</v>
      </c>
      <c r="AN37" s="95">
        <f t="shared" ref="AN37:AO37" si="78">SUM(AN23:AN36)</f>
        <v>25.989999999999995</v>
      </c>
      <c r="AO37" s="95">
        <f t="shared" si="78"/>
        <v>27316727.25</v>
      </c>
      <c r="AP37" s="95">
        <f t="shared" ref="AP37:AQ37" si="79">SUM(AP23:AP36)</f>
        <v>25.989999999999995</v>
      </c>
      <c r="AQ37" s="95">
        <f t="shared" si="79"/>
        <v>27319867.629999999</v>
      </c>
      <c r="AR37" s="95">
        <f t="shared" ref="AR37:AS37" si="80">SUM(AR23:AR36)</f>
        <v>25.96</v>
      </c>
      <c r="AS37" s="95">
        <f t="shared" si="80"/>
        <v>27319867.629999999</v>
      </c>
      <c r="AT37" s="95">
        <f t="shared" ref="AT37" si="81">SUM(AT23:AT36)</f>
        <v>25.96</v>
      </c>
    </row>
    <row r="38" spans="1:46" ht="16.5" thickBot="1">
      <c r="A38" s="1029" t="s">
        <v>48</v>
      </c>
      <c r="B38" s="1053"/>
      <c r="C38" s="609"/>
      <c r="D38" s="661"/>
      <c r="E38" s="609"/>
      <c r="F38" s="661"/>
      <c r="G38" s="609"/>
      <c r="H38" s="661"/>
      <c r="I38" s="609"/>
      <c r="J38" s="661"/>
      <c r="K38" s="609"/>
      <c r="L38" s="661"/>
      <c r="M38" s="609"/>
      <c r="N38" s="661"/>
      <c r="O38" s="609"/>
      <c r="P38" s="661"/>
      <c r="Q38" s="609"/>
      <c r="R38" s="661"/>
      <c r="S38" s="609"/>
      <c r="T38" s="661"/>
      <c r="U38" s="609"/>
      <c r="V38" s="661"/>
      <c r="W38" s="609"/>
      <c r="X38" s="661"/>
      <c r="Y38" s="609"/>
      <c r="Z38" s="661"/>
      <c r="AA38" s="921"/>
      <c r="AB38" s="922"/>
      <c r="AC38" s="921"/>
      <c r="AD38" s="922"/>
      <c r="AE38" s="921"/>
      <c r="AF38" s="922"/>
      <c r="AG38" s="921"/>
      <c r="AH38" s="922"/>
      <c r="AI38" s="921"/>
      <c r="AJ38" s="922"/>
      <c r="AK38" s="921"/>
      <c r="AL38" s="922"/>
      <c r="AM38" s="921"/>
      <c r="AN38" s="922"/>
      <c r="AO38" s="921"/>
      <c r="AP38" s="922"/>
      <c r="AQ38" s="921"/>
      <c r="AR38" s="922"/>
      <c r="AS38" s="921"/>
      <c r="AT38" s="922"/>
    </row>
    <row r="39" spans="1:46" ht="16.5" thickBot="1">
      <c r="A39" s="1031" t="s">
        <v>111</v>
      </c>
      <c r="B39" s="1051"/>
      <c r="C39" s="610"/>
      <c r="D39" s="662"/>
      <c r="E39" s="610"/>
      <c r="F39" s="662"/>
      <c r="G39" s="610"/>
      <c r="H39" s="662"/>
      <c r="I39" s="610"/>
      <c r="J39" s="662"/>
      <c r="K39" s="610"/>
      <c r="L39" s="662"/>
      <c r="M39" s="610"/>
      <c r="N39" s="662"/>
      <c r="O39" s="610"/>
      <c r="P39" s="662"/>
      <c r="Q39" s="610"/>
      <c r="R39" s="662"/>
      <c r="S39" s="610"/>
      <c r="T39" s="662"/>
      <c r="U39" s="610"/>
      <c r="V39" s="662"/>
      <c r="W39" s="610"/>
      <c r="X39" s="662"/>
      <c r="Y39" s="610"/>
      <c r="Z39" s="662"/>
      <c r="AA39" s="113"/>
      <c r="AB39" s="923"/>
      <c r="AC39" s="113"/>
      <c r="AD39" s="923"/>
      <c r="AE39" s="113"/>
      <c r="AF39" s="923"/>
      <c r="AG39" s="113"/>
      <c r="AH39" s="923"/>
      <c r="AI39" s="113"/>
      <c r="AJ39" s="923"/>
      <c r="AK39" s="113"/>
      <c r="AL39" s="923"/>
      <c r="AM39" s="113"/>
      <c r="AN39" s="923"/>
      <c r="AO39" s="113"/>
      <c r="AP39" s="923"/>
      <c r="AQ39" s="113"/>
      <c r="AR39" s="923"/>
      <c r="AS39" s="113"/>
      <c r="AT39" s="923"/>
    </row>
    <row r="40" spans="1:46" ht="16.5" thickBot="1">
      <c r="A40" s="114" t="s">
        <v>67</v>
      </c>
      <c r="B40" s="115" t="s">
        <v>74</v>
      </c>
      <c r="C40" s="820"/>
      <c r="D40" s="820"/>
      <c r="E40" s="820"/>
      <c r="F40" s="820"/>
      <c r="G40" s="820"/>
      <c r="H40" s="820"/>
      <c r="I40" s="820">
        <v>300</v>
      </c>
      <c r="J40" s="820"/>
      <c r="K40" s="820">
        <v>300</v>
      </c>
      <c r="L40" s="820"/>
      <c r="M40" s="883">
        <v>300</v>
      </c>
      <c r="N40" s="820"/>
      <c r="O40" s="820">
        <v>300</v>
      </c>
      <c r="P40" s="820"/>
      <c r="Q40" s="820">
        <v>300</v>
      </c>
      <c r="R40" s="820"/>
      <c r="S40" s="820">
        <v>300</v>
      </c>
      <c r="T40" s="820"/>
      <c r="U40" s="820">
        <v>300</v>
      </c>
      <c r="V40" s="820"/>
      <c r="W40" s="820">
        <v>300</v>
      </c>
      <c r="X40" s="820"/>
      <c r="Y40" s="820">
        <v>300</v>
      </c>
      <c r="Z40" s="820"/>
      <c r="AA40" s="924">
        <v>300</v>
      </c>
      <c r="AB40" s="924"/>
      <c r="AC40" s="924">
        <v>300</v>
      </c>
      <c r="AD40" s="924"/>
      <c r="AE40" s="924">
        <v>300</v>
      </c>
      <c r="AF40" s="924"/>
      <c r="AG40" s="924">
        <v>300</v>
      </c>
      <c r="AH40" s="924"/>
      <c r="AI40" s="924">
        <v>300</v>
      </c>
      <c r="AJ40" s="924"/>
      <c r="AK40" s="924">
        <v>300</v>
      </c>
      <c r="AL40" s="924"/>
      <c r="AM40" s="924">
        <v>300</v>
      </c>
      <c r="AN40" s="924"/>
      <c r="AO40" s="924">
        <v>300</v>
      </c>
      <c r="AP40" s="924"/>
      <c r="AQ40" s="960">
        <v>300</v>
      </c>
      <c r="AR40" s="924"/>
      <c r="AS40" s="924"/>
      <c r="AT40" s="924"/>
    </row>
    <row r="41" spans="1:46" ht="48" thickBot="1">
      <c r="A41" s="122" t="s">
        <v>58</v>
      </c>
      <c r="B41" s="123" t="s">
        <v>75</v>
      </c>
      <c r="C41" s="473">
        <v>146642.32999999999</v>
      </c>
      <c r="D41" s="536">
        <v>0.14000000000000001</v>
      </c>
      <c r="E41" s="473">
        <v>148335.20000000001</v>
      </c>
      <c r="F41" s="536">
        <v>0.14000000000000001</v>
      </c>
      <c r="G41" s="473">
        <v>148899.48000000001</v>
      </c>
      <c r="H41" s="536">
        <v>0.14000000000000001</v>
      </c>
      <c r="I41" s="870">
        <v>149463.76999999999</v>
      </c>
      <c r="J41" s="536">
        <v>0.14000000000000001</v>
      </c>
      <c r="K41" s="473">
        <v>150028.06</v>
      </c>
      <c r="L41" s="536">
        <v>0.14000000000000001</v>
      </c>
      <c r="M41" s="511">
        <v>150592.35</v>
      </c>
      <c r="N41" s="536">
        <v>0.15</v>
      </c>
      <c r="O41" s="820"/>
      <c r="P41" s="820"/>
      <c r="Q41" s="820"/>
      <c r="R41" s="820"/>
      <c r="S41" s="549">
        <v>169.03</v>
      </c>
      <c r="T41" s="820"/>
      <c r="U41" s="473">
        <v>338.06</v>
      </c>
      <c r="V41" s="820"/>
      <c r="W41" s="473">
        <v>507.09</v>
      </c>
      <c r="X41" s="820"/>
      <c r="Y41" s="473">
        <v>1014.18</v>
      </c>
      <c r="Z41" s="820"/>
      <c r="AA41" s="511">
        <v>1183.21</v>
      </c>
      <c r="AB41" s="924"/>
      <c r="AC41" s="473">
        <v>1352.24</v>
      </c>
      <c r="AD41" s="924"/>
      <c r="AE41" s="473">
        <v>1521.28</v>
      </c>
      <c r="AF41" s="924"/>
      <c r="AG41" s="473">
        <v>1690.31</v>
      </c>
      <c r="AH41" s="924"/>
      <c r="AI41" s="473">
        <v>2197.4</v>
      </c>
      <c r="AJ41" s="924"/>
      <c r="AK41" s="473">
        <v>2366.4299999999998</v>
      </c>
      <c r="AL41" s="924"/>
      <c r="AM41" s="473">
        <v>2535.46</v>
      </c>
      <c r="AN41" s="924"/>
      <c r="AO41" s="473">
        <v>2704.49</v>
      </c>
      <c r="AP41" s="924"/>
      <c r="AQ41" s="473">
        <v>2873.52</v>
      </c>
      <c r="AR41" s="924"/>
      <c r="AS41" s="473">
        <v>3211.58</v>
      </c>
      <c r="AT41" s="924"/>
    </row>
    <row r="42" spans="1:46" ht="32.25" thickBot="1">
      <c r="A42" s="122" t="s">
        <v>58</v>
      </c>
      <c r="B42" s="123" t="s">
        <v>131</v>
      </c>
      <c r="C42" s="820"/>
      <c r="D42" s="820"/>
      <c r="E42" s="820"/>
      <c r="F42" s="820"/>
      <c r="G42" s="820"/>
      <c r="H42" s="820"/>
      <c r="I42" s="820"/>
      <c r="J42" s="820"/>
      <c r="K42" s="820"/>
      <c r="L42" s="820"/>
      <c r="M42" s="820"/>
      <c r="N42" s="820"/>
      <c r="O42" s="820"/>
      <c r="P42" s="820"/>
      <c r="Q42" s="820"/>
      <c r="R42" s="820"/>
      <c r="S42" s="820"/>
      <c r="T42" s="820"/>
      <c r="U42" s="820"/>
      <c r="V42" s="820"/>
      <c r="W42" s="820"/>
      <c r="X42" s="820"/>
      <c r="Y42" s="820"/>
      <c r="Z42" s="820"/>
      <c r="AA42" s="924"/>
      <c r="AB42" s="924"/>
      <c r="AC42" s="924"/>
      <c r="AD42" s="924"/>
      <c r="AE42" s="924"/>
      <c r="AF42" s="924"/>
      <c r="AG42" s="924"/>
      <c r="AH42" s="924"/>
      <c r="AI42" s="924"/>
      <c r="AJ42" s="924"/>
      <c r="AK42" s="924"/>
      <c r="AL42" s="924"/>
      <c r="AM42" s="924"/>
      <c r="AN42" s="924"/>
      <c r="AO42" s="924"/>
      <c r="AP42" s="924"/>
      <c r="AQ42" s="924"/>
      <c r="AR42" s="924"/>
      <c r="AS42" s="924"/>
      <c r="AT42" s="924"/>
    </row>
    <row r="43" spans="1:46" ht="16.5" thickBot="1">
      <c r="A43" s="122" t="s">
        <v>101</v>
      </c>
      <c r="B43" s="123" t="s">
        <v>57</v>
      </c>
      <c r="C43" s="833">
        <v>1134591.24</v>
      </c>
      <c r="D43" s="821">
        <v>1.08</v>
      </c>
      <c r="E43" s="833">
        <v>1123357.6599999999</v>
      </c>
      <c r="F43" s="821">
        <v>1.07</v>
      </c>
      <c r="G43" s="833">
        <v>1119613.1399999999</v>
      </c>
      <c r="H43" s="821">
        <v>1.07</v>
      </c>
      <c r="I43" s="875">
        <v>1115868.6100000001</v>
      </c>
      <c r="J43" s="821">
        <v>1.07</v>
      </c>
      <c r="K43" s="833">
        <v>1112124.0900000001</v>
      </c>
      <c r="L43" s="821">
        <v>1.07</v>
      </c>
      <c r="M43" s="881">
        <v>1108379.56</v>
      </c>
      <c r="N43" s="821">
        <v>1.06</v>
      </c>
      <c r="O43" s="833">
        <v>1097145.99</v>
      </c>
      <c r="P43" s="821">
        <v>1.05</v>
      </c>
      <c r="Q43" s="833">
        <v>1093401.46</v>
      </c>
      <c r="R43" s="821">
        <v>1.05</v>
      </c>
      <c r="S43" s="833">
        <v>1089656.93</v>
      </c>
      <c r="T43" s="821">
        <v>1.04</v>
      </c>
      <c r="U43" s="833">
        <v>1085912.4099999999</v>
      </c>
      <c r="V43" s="821">
        <v>1.04</v>
      </c>
      <c r="W43" s="833">
        <v>1082167.8799999999</v>
      </c>
      <c r="X43" s="821">
        <v>1.03</v>
      </c>
      <c r="Y43" s="833">
        <v>1070934.31</v>
      </c>
      <c r="Z43" s="821">
        <v>1.02</v>
      </c>
      <c r="AA43" s="881">
        <v>1067189.78</v>
      </c>
      <c r="AB43" s="926">
        <v>1.02</v>
      </c>
      <c r="AC43" s="833">
        <v>1063445.26</v>
      </c>
      <c r="AD43" s="926">
        <v>1.02</v>
      </c>
      <c r="AE43" s="833">
        <v>1059700.73</v>
      </c>
      <c r="AF43" s="926">
        <v>1.01</v>
      </c>
      <c r="AG43" s="833">
        <v>1055956.2</v>
      </c>
      <c r="AH43" s="926">
        <v>1.01</v>
      </c>
      <c r="AI43" s="833">
        <v>1044722.63</v>
      </c>
      <c r="AJ43" s="926">
        <v>1</v>
      </c>
      <c r="AK43" s="833">
        <v>1040978.1</v>
      </c>
      <c r="AL43" s="926">
        <v>0.99</v>
      </c>
      <c r="AM43" s="833">
        <v>1037233.58</v>
      </c>
      <c r="AN43" s="926">
        <v>0.99</v>
      </c>
      <c r="AO43" s="833">
        <v>1033489.05</v>
      </c>
      <c r="AP43" s="926">
        <v>0.99</v>
      </c>
      <c r="AQ43" s="958">
        <v>1029744.53</v>
      </c>
      <c r="AR43" s="926">
        <v>0.99</v>
      </c>
      <c r="AS43" s="833">
        <v>1022255.47</v>
      </c>
      <c r="AT43" s="926">
        <v>0.97</v>
      </c>
    </row>
    <row r="44" spans="1:46" ht="16.5" thickBot="1">
      <c r="A44" s="122" t="s">
        <v>29</v>
      </c>
      <c r="B44" s="123" t="s">
        <v>57</v>
      </c>
      <c r="C44" s="822"/>
      <c r="D44" s="820"/>
      <c r="E44" s="822"/>
      <c r="F44" s="820"/>
      <c r="G44" s="822"/>
      <c r="H44" s="820"/>
      <c r="I44" s="822"/>
      <c r="J44" s="820"/>
      <c r="K44" s="822"/>
      <c r="L44" s="820"/>
      <c r="M44" s="822"/>
      <c r="N44" s="820"/>
      <c r="O44" s="822"/>
      <c r="P44" s="820"/>
      <c r="Q44" s="822"/>
      <c r="R44" s="820"/>
      <c r="S44" s="822"/>
      <c r="T44" s="820"/>
      <c r="U44" s="822"/>
      <c r="V44" s="820"/>
      <c r="W44" s="822"/>
      <c r="X44" s="820"/>
      <c r="Y44" s="822"/>
      <c r="Z44" s="820"/>
      <c r="AA44" s="927"/>
      <c r="AB44" s="924"/>
      <c r="AC44" s="927"/>
      <c r="AD44" s="924"/>
      <c r="AE44" s="927"/>
      <c r="AF44" s="924"/>
      <c r="AG44" s="927"/>
      <c r="AH44" s="924"/>
      <c r="AI44" s="927"/>
      <c r="AJ44" s="924"/>
      <c r="AK44" s="927"/>
      <c r="AL44" s="924"/>
      <c r="AM44" s="927"/>
      <c r="AN44" s="924"/>
      <c r="AO44" s="927"/>
      <c r="AP44" s="924"/>
      <c r="AQ44" s="927"/>
      <c r="AR44" s="924"/>
      <c r="AS44" s="927"/>
      <c r="AT44" s="924"/>
    </row>
    <row r="45" spans="1:46">
      <c r="A45" s="122" t="s">
        <v>37</v>
      </c>
      <c r="B45" s="123" t="s">
        <v>57</v>
      </c>
      <c r="C45" s="822"/>
      <c r="D45" s="820"/>
      <c r="E45" s="822"/>
      <c r="F45" s="820"/>
      <c r="G45" s="822"/>
      <c r="H45" s="820"/>
      <c r="I45" s="822"/>
      <c r="J45" s="820"/>
      <c r="K45" s="822"/>
      <c r="L45" s="820"/>
      <c r="M45" s="822"/>
      <c r="N45" s="820"/>
      <c r="O45" s="822"/>
      <c r="P45" s="820"/>
      <c r="Q45" s="822"/>
      <c r="R45" s="820"/>
      <c r="S45" s="822"/>
      <c r="T45" s="820"/>
      <c r="U45" s="822"/>
      <c r="V45" s="820"/>
      <c r="W45" s="822"/>
      <c r="X45" s="820"/>
      <c r="Y45" s="822"/>
      <c r="Z45" s="820"/>
      <c r="AA45" s="927"/>
      <c r="AB45" s="924"/>
      <c r="AC45" s="927"/>
      <c r="AD45" s="924"/>
      <c r="AE45" s="927"/>
      <c r="AF45" s="924"/>
      <c r="AG45" s="927"/>
      <c r="AH45" s="924"/>
      <c r="AI45" s="927"/>
      <c r="AJ45" s="924"/>
      <c r="AK45" s="927"/>
      <c r="AL45" s="924"/>
      <c r="AM45" s="927"/>
      <c r="AN45" s="924"/>
      <c r="AO45" s="927"/>
      <c r="AP45" s="924"/>
      <c r="AQ45" s="927"/>
      <c r="AR45" s="924"/>
      <c r="AS45" s="927"/>
      <c r="AT45" s="924"/>
    </row>
    <row r="46" spans="1:46">
      <c r="A46" s="122" t="s">
        <v>68</v>
      </c>
      <c r="B46" s="123" t="s">
        <v>57</v>
      </c>
      <c r="C46" s="515">
        <v>991675.87999999989</v>
      </c>
      <c r="D46" s="812">
        <v>0.95</v>
      </c>
      <c r="E46" s="515">
        <v>986546.12000000011</v>
      </c>
      <c r="F46" s="812">
        <v>0.94</v>
      </c>
      <c r="G46" s="515">
        <v>984836.19000000018</v>
      </c>
      <c r="H46" s="812">
        <v>0.94</v>
      </c>
      <c r="I46" s="876">
        <v>983126.24999999988</v>
      </c>
      <c r="J46" s="812">
        <v>0.94</v>
      </c>
      <c r="K46" s="876">
        <v>981416.33</v>
      </c>
      <c r="L46" s="812">
        <v>0.95</v>
      </c>
      <c r="M46" s="882">
        <v>979706.37999999989</v>
      </c>
      <c r="N46" s="812">
        <v>0.95</v>
      </c>
      <c r="O46" s="882">
        <v>974576.62999999989</v>
      </c>
      <c r="P46" s="812">
        <v>0.93</v>
      </c>
      <c r="Q46" s="882">
        <v>972866.71</v>
      </c>
      <c r="R46" s="812">
        <v>0.93</v>
      </c>
      <c r="S46" s="882">
        <v>971156.77</v>
      </c>
      <c r="T46" s="812">
        <v>0.93</v>
      </c>
      <c r="U46" s="882">
        <v>969446.84000000008</v>
      </c>
      <c r="V46" s="812">
        <v>0.92</v>
      </c>
      <c r="W46" s="882">
        <v>967736.90999999992</v>
      </c>
      <c r="X46" s="812">
        <v>0.92</v>
      </c>
      <c r="Y46" s="882">
        <v>962607.14000000013</v>
      </c>
      <c r="Z46" s="812">
        <v>0.93</v>
      </c>
      <c r="AA46" s="882">
        <v>960897.21000000008</v>
      </c>
      <c r="AB46" s="928">
        <v>0.91</v>
      </c>
      <c r="AC46" s="882">
        <v>1053452.1600000001</v>
      </c>
      <c r="AD46" s="928">
        <v>1</v>
      </c>
      <c r="AE46" s="882">
        <v>1051742.23</v>
      </c>
      <c r="AF46" s="928">
        <v>1</v>
      </c>
      <c r="AG46" s="882">
        <v>1050032.29</v>
      </c>
      <c r="AH46" s="928">
        <v>0.99</v>
      </c>
      <c r="AI46" s="882">
        <v>1044902.4999999999</v>
      </c>
      <c r="AJ46" s="928">
        <v>0.99</v>
      </c>
      <c r="AK46" s="882">
        <v>1043192.5900000001</v>
      </c>
      <c r="AL46" s="928">
        <v>0.99</v>
      </c>
      <c r="AM46" s="946">
        <v>1041975.1400000001</v>
      </c>
      <c r="AN46" s="928">
        <v>1</v>
      </c>
      <c r="AO46" s="946">
        <v>1040264.41</v>
      </c>
      <c r="AP46" s="928">
        <v>1</v>
      </c>
      <c r="AQ46" s="959">
        <v>1038940.9199999998</v>
      </c>
      <c r="AR46" s="928">
        <v>1</v>
      </c>
      <c r="AS46" s="946">
        <v>1035346.62</v>
      </c>
      <c r="AT46" s="928">
        <v>0.97</v>
      </c>
    </row>
    <row r="47" spans="1:46">
      <c r="A47" s="122" t="s">
        <v>68</v>
      </c>
      <c r="B47" s="123" t="s">
        <v>57</v>
      </c>
      <c r="C47" s="616"/>
      <c r="D47" s="823"/>
      <c r="E47" s="616"/>
      <c r="F47" s="823"/>
      <c r="G47" s="616"/>
      <c r="H47" s="823"/>
      <c r="I47" s="616"/>
      <c r="J47" s="823"/>
      <c r="K47" s="616"/>
      <c r="L47" s="823"/>
      <c r="M47" s="616"/>
      <c r="N47" s="823"/>
      <c r="O47" s="616"/>
      <c r="P47" s="823"/>
      <c r="Q47" s="616"/>
      <c r="R47" s="823"/>
      <c r="S47" s="616"/>
      <c r="T47" s="823"/>
      <c r="U47" s="616"/>
      <c r="V47" s="823"/>
      <c r="W47" s="616"/>
      <c r="X47" s="823"/>
      <c r="Y47" s="616"/>
      <c r="Z47" s="823"/>
      <c r="AA47" s="929"/>
      <c r="AB47" s="930"/>
      <c r="AC47" s="929"/>
      <c r="AD47" s="930"/>
      <c r="AE47" s="929"/>
      <c r="AF47" s="930"/>
      <c r="AG47" s="929"/>
      <c r="AH47" s="930"/>
      <c r="AI47" s="929"/>
      <c r="AJ47" s="930"/>
      <c r="AK47" s="929"/>
      <c r="AL47" s="930"/>
      <c r="AM47" s="947">
        <v>3766075</v>
      </c>
      <c r="AN47" s="930">
        <v>3.58</v>
      </c>
      <c r="AO47" s="947">
        <v>3766075</v>
      </c>
      <c r="AP47" s="930">
        <v>3.59</v>
      </c>
      <c r="AQ47" s="833">
        <v>3781546.53</v>
      </c>
      <c r="AR47" s="930">
        <v>3.59</v>
      </c>
      <c r="AS47" s="833">
        <v>3774639.6</v>
      </c>
      <c r="AT47" s="930">
        <v>3.58</v>
      </c>
    </row>
    <row r="48" spans="1:46" ht="48" thickBot="1">
      <c r="A48" s="122" t="s">
        <v>70</v>
      </c>
      <c r="B48" s="123" t="s">
        <v>76</v>
      </c>
      <c r="C48" s="574">
        <v>1910400</v>
      </c>
      <c r="D48" s="824">
        <v>1.83</v>
      </c>
      <c r="E48" s="574">
        <v>1910400</v>
      </c>
      <c r="F48" s="824">
        <v>1.82</v>
      </c>
      <c r="G48" s="574">
        <v>1910400</v>
      </c>
      <c r="H48" s="824">
        <v>1.82</v>
      </c>
      <c r="I48" s="574">
        <v>1910400</v>
      </c>
      <c r="J48" s="824">
        <v>1.82</v>
      </c>
      <c r="K48" s="574">
        <v>1910400</v>
      </c>
      <c r="L48" s="824">
        <v>1.82</v>
      </c>
      <c r="M48" s="584">
        <v>1910400</v>
      </c>
      <c r="N48" s="824">
        <v>1.82</v>
      </c>
      <c r="O48" s="584">
        <v>1910400</v>
      </c>
      <c r="P48" s="824">
        <v>1.82</v>
      </c>
      <c r="Q48" s="584">
        <v>1910400</v>
      </c>
      <c r="R48" s="824">
        <v>1.82</v>
      </c>
      <c r="S48" s="584">
        <v>1910400</v>
      </c>
      <c r="T48" s="824">
        <v>1.82</v>
      </c>
      <c r="U48" s="584">
        <v>1910400</v>
      </c>
      <c r="V48" s="824">
        <v>1.82</v>
      </c>
      <c r="W48" s="584">
        <v>1910400</v>
      </c>
      <c r="X48" s="824">
        <v>1.82</v>
      </c>
      <c r="Y48" s="584">
        <v>1910400</v>
      </c>
      <c r="Z48" s="824">
        <v>1.82</v>
      </c>
      <c r="AA48" s="931">
        <v>1810900</v>
      </c>
      <c r="AB48" s="932">
        <v>1.73</v>
      </c>
      <c r="AC48" s="931">
        <v>1810900</v>
      </c>
      <c r="AD48" s="932">
        <v>1.73</v>
      </c>
      <c r="AE48" s="931">
        <v>1810900</v>
      </c>
      <c r="AF48" s="932">
        <v>1.73</v>
      </c>
      <c r="AG48" s="931">
        <v>1810900</v>
      </c>
      <c r="AH48" s="932">
        <v>1.73</v>
      </c>
      <c r="AI48" s="931">
        <v>1810900</v>
      </c>
      <c r="AJ48" s="932">
        <v>1.73</v>
      </c>
      <c r="AK48" s="931">
        <v>1810900</v>
      </c>
      <c r="AL48" s="932">
        <v>1.73</v>
      </c>
      <c r="AM48" s="931">
        <v>1810900</v>
      </c>
      <c r="AN48" s="932">
        <v>1.73</v>
      </c>
      <c r="AO48" s="931">
        <v>1810900</v>
      </c>
      <c r="AP48" s="932">
        <v>1.73</v>
      </c>
      <c r="AQ48" s="956">
        <v>1810900</v>
      </c>
      <c r="AR48" s="932">
        <v>1.73</v>
      </c>
      <c r="AS48" s="931">
        <v>1810900</v>
      </c>
      <c r="AT48" s="932">
        <v>1.73</v>
      </c>
    </row>
    <row r="49" spans="1:46" ht="15">
      <c r="A49" s="696" t="s">
        <v>105</v>
      </c>
      <c r="B49" s="696" t="s">
        <v>105</v>
      </c>
      <c r="C49" s="813"/>
      <c r="D49" s="821"/>
      <c r="E49" s="813"/>
      <c r="F49" s="821"/>
      <c r="G49" s="813"/>
      <c r="H49" s="821"/>
      <c r="I49" s="813"/>
      <c r="J49" s="821"/>
      <c r="K49" s="813"/>
      <c r="L49" s="821"/>
      <c r="M49" s="813"/>
      <c r="N49" s="821"/>
      <c r="O49" s="813"/>
      <c r="P49" s="821"/>
      <c r="Q49" s="813"/>
      <c r="R49" s="821"/>
      <c r="S49" s="813"/>
      <c r="T49" s="821"/>
      <c r="U49" s="813"/>
      <c r="V49" s="821"/>
      <c r="W49" s="813"/>
      <c r="X49" s="821"/>
      <c r="Y49" s="813"/>
      <c r="Z49" s="821"/>
      <c r="AA49" s="933"/>
      <c r="AB49" s="926"/>
      <c r="AC49" s="933"/>
      <c r="AD49" s="926"/>
      <c r="AE49" s="933"/>
      <c r="AF49" s="926"/>
      <c r="AG49" s="933"/>
      <c r="AH49" s="926"/>
      <c r="AI49" s="933"/>
      <c r="AJ49" s="926"/>
      <c r="AK49" s="933"/>
      <c r="AL49" s="926"/>
      <c r="AM49" s="933"/>
      <c r="AN49" s="926"/>
      <c r="AO49" s="933"/>
      <c r="AP49" s="926"/>
      <c r="AQ49" s="933"/>
      <c r="AR49" s="926"/>
      <c r="AS49" s="933"/>
      <c r="AT49" s="926"/>
    </row>
    <row r="50" spans="1:46">
      <c r="A50" s="122" t="s">
        <v>49</v>
      </c>
      <c r="B50" s="123" t="s">
        <v>50</v>
      </c>
      <c r="C50" s="493">
        <v>16237.51</v>
      </c>
      <c r="D50" s="824">
        <v>0.02</v>
      </c>
      <c r="E50" s="493">
        <v>16237.51</v>
      </c>
      <c r="F50" s="824">
        <v>0.02</v>
      </c>
      <c r="G50" s="493">
        <v>16237.51</v>
      </c>
      <c r="H50" s="824">
        <v>0.02</v>
      </c>
      <c r="I50" s="878">
        <v>16762.490000000002</v>
      </c>
      <c r="J50" s="824">
        <v>0.02</v>
      </c>
      <c r="K50" s="878">
        <v>16762.490000000002</v>
      </c>
      <c r="L50" s="824">
        <v>0.02</v>
      </c>
      <c r="M50" s="879">
        <v>16762.490000000002</v>
      </c>
      <c r="N50" s="824">
        <v>0.02</v>
      </c>
      <c r="O50" s="712">
        <v>17691.82</v>
      </c>
      <c r="P50" s="824">
        <v>0.02</v>
      </c>
      <c r="Q50" s="712">
        <v>17691.82</v>
      </c>
      <c r="R50" s="824">
        <v>0.02</v>
      </c>
      <c r="S50" s="712">
        <v>17691.82</v>
      </c>
      <c r="T50" s="824">
        <v>0.02</v>
      </c>
      <c r="U50" s="479">
        <v>15473.96</v>
      </c>
      <c r="V50" s="824">
        <v>0.02</v>
      </c>
      <c r="W50" s="479">
        <v>15473.96</v>
      </c>
      <c r="X50" s="824">
        <v>0.02</v>
      </c>
      <c r="Y50" s="479">
        <v>15473.96</v>
      </c>
      <c r="Z50" s="824">
        <v>0.02</v>
      </c>
      <c r="AA50" s="767">
        <v>15668.96</v>
      </c>
      <c r="AB50" s="932">
        <v>0.02</v>
      </c>
      <c r="AC50" s="767">
        <v>15668.96</v>
      </c>
      <c r="AD50" s="932">
        <v>0.02</v>
      </c>
      <c r="AE50" s="767">
        <v>15668.96</v>
      </c>
      <c r="AF50" s="932">
        <v>0.02</v>
      </c>
      <c r="AG50" s="767">
        <v>15668.96</v>
      </c>
      <c r="AH50" s="932">
        <v>0.02</v>
      </c>
      <c r="AI50" s="767">
        <v>15668.96</v>
      </c>
      <c r="AJ50" s="932">
        <v>0.02</v>
      </c>
      <c r="AK50" s="767">
        <v>15668.96</v>
      </c>
      <c r="AL50" s="932">
        <v>0.02</v>
      </c>
      <c r="AM50" s="767">
        <v>15668.96</v>
      </c>
      <c r="AN50" s="932">
        <v>0.02</v>
      </c>
      <c r="AO50" s="767">
        <v>15668.96</v>
      </c>
      <c r="AP50" s="932">
        <v>0.02</v>
      </c>
      <c r="AQ50" s="953">
        <v>15668.96</v>
      </c>
      <c r="AR50" s="932">
        <v>0.02</v>
      </c>
      <c r="AS50" s="582">
        <v>5197.9399999999996</v>
      </c>
      <c r="AT50" s="932">
        <v>0</v>
      </c>
    </row>
    <row r="51" spans="1:46" ht="48" thickBot="1">
      <c r="A51" s="122" t="s">
        <v>56</v>
      </c>
      <c r="B51" s="123" t="s">
        <v>77</v>
      </c>
      <c r="C51" s="823"/>
      <c r="D51" s="823"/>
      <c r="E51" s="823"/>
      <c r="F51" s="823"/>
      <c r="G51" s="823"/>
      <c r="H51" s="823"/>
      <c r="I51" s="823"/>
      <c r="J51" s="823"/>
      <c r="K51" s="823"/>
      <c r="L51" s="823"/>
      <c r="M51" s="823"/>
      <c r="N51" s="823"/>
      <c r="O51" s="823"/>
      <c r="P51" s="823"/>
      <c r="Q51" s="823"/>
      <c r="R51" s="823"/>
      <c r="S51" s="823"/>
      <c r="T51" s="823"/>
      <c r="U51" s="760">
        <v>5617.65</v>
      </c>
      <c r="V51" s="823"/>
      <c r="W51" s="760">
        <v>5617.65</v>
      </c>
      <c r="X51" s="823"/>
      <c r="Y51" s="760">
        <v>5617.65</v>
      </c>
      <c r="Z51" s="823"/>
      <c r="AA51" s="945">
        <v>5617.65</v>
      </c>
      <c r="AB51" s="930"/>
      <c r="AC51" s="945">
        <v>5617.65</v>
      </c>
      <c r="AD51" s="930"/>
      <c r="AE51" s="945">
        <v>5617.65</v>
      </c>
      <c r="AF51" s="930"/>
      <c r="AG51" s="945">
        <v>5617.65</v>
      </c>
      <c r="AH51" s="930"/>
      <c r="AI51" s="945">
        <v>5617.65</v>
      </c>
      <c r="AJ51" s="930"/>
      <c r="AK51" s="945">
        <v>5617.65</v>
      </c>
      <c r="AL51" s="930"/>
      <c r="AM51" s="945">
        <v>5617.65</v>
      </c>
      <c r="AN51" s="930"/>
      <c r="AO51" s="945">
        <v>5617.65</v>
      </c>
      <c r="AP51" s="930"/>
      <c r="AQ51" s="954">
        <v>5617.65</v>
      </c>
      <c r="AR51" s="930"/>
      <c r="AS51" s="950">
        <v>1243.52</v>
      </c>
      <c r="AT51" s="930"/>
    </row>
    <row r="52" spans="1:46" ht="78.75">
      <c r="A52" s="132" t="s">
        <v>72</v>
      </c>
      <c r="B52" s="123" t="s">
        <v>78</v>
      </c>
      <c r="C52" s="479">
        <v>822.22</v>
      </c>
      <c r="D52" s="821">
        <v>0</v>
      </c>
      <c r="E52" s="479">
        <v>822.22</v>
      </c>
      <c r="F52" s="821">
        <v>0</v>
      </c>
      <c r="G52" s="479">
        <v>822.22</v>
      </c>
      <c r="H52" s="821">
        <v>0</v>
      </c>
      <c r="I52" s="877">
        <v>3972.06</v>
      </c>
      <c r="J52" s="821">
        <v>0</v>
      </c>
      <c r="K52" s="878">
        <v>3972.06</v>
      </c>
      <c r="L52" s="821">
        <v>0</v>
      </c>
      <c r="M52" s="879">
        <v>3972.06</v>
      </c>
      <c r="N52" s="821">
        <v>0</v>
      </c>
      <c r="O52" s="879">
        <v>3972.06</v>
      </c>
      <c r="P52" s="821">
        <v>0</v>
      </c>
      <c r="Q52" s="879">
        <v>3972.06</v>
      </c>
      <c r="R52" s="821">
        <v>0</v>
      </c>
      <c r="S52" s="879">
        <v>3972.06</v>
      </c>
      <c r="T52" s="821">
        <v>0</v>
      </c>
      <c r="U52" s="879">
        <v>3972.06</v>
      </c>
      <c r="V52" s="821">
        <v>0</v>
      </c>
      <c r="W52" s="879">
        <v>3972.06</v>
      </c>
      <c r="X52" s="821">
        <v>0</v>
      </c>
      <c r="Y52" s="879">
        <v>3972.06</v>
      </c>
      <c r="Z52" s="821">
        <v>0</v>
      </c>
      <c r="AA52" s="879">
        <v>3972.06</v>
      </c>
      <c r="AB52" s="926">
        <v>0</v>
      </c>
      <c r="AC52" s="879">
        <v>3972.06</v>
      </c>
      <c r="AD52" s="926">
        <v>0</v>
      </c>
      <c r="AE52" s="879">
        <v>3972.06</v>
      </c>
      <c r="AF52" s="926">
        <v>0</v>
      </c>
      <c r="AG52" s="879">
        <v>3972.06</v>
      </c>
      <c r="AH52" s="926">
        <v>0</v>
      </c>
      <c r="AI52" s="879">
        <v>3972.06</v>
      </c>
      <c r="AJ52" s="926">
        <v>0</v>
      </c>
      <c r="AK52" s="879">
        <v>3972.06</v>
      </c>
      <c r="AL52" s="926">
        <v>0</v>
      </c>
      <c r="AM52" s="879">
        <v>3972.06</v>
      </c>
      <c r="AN52" s="926">
        <v>0</v>
      </c>
      <c r="AO52" s="879">
        <v>3972.06</v>
      </c>
      <c r="AP52" s="926">
        <v>0</v>
      </c>
      <c r="AQ52" s="955">
        <v>3972.06</v>
      </c>
      <c r="AR52" s="926">
        <v>0</v>
      </c>
      <c r="AS52" s="950">
        <v>2712.62</v>
      </c>
      <c r="AT52" s="926">
        <v>0</v>
      </c>
    </row>
    <row r="53" spans="1:46" ht="31.5">
      <c r="A53" s="132" t="s">
        <v>51</v>
      </c>
      <c r="B53" s="123" t="s">
        <v>52</v>
      </c>
      <c r="C53" s="839">
        <v>23890.959999999999</v>
      </c>
      <c r="D53" s="840">
        <v>0.02</v>
      </c>
      <c r="E53" s="839">
        <v>23890.959999999999</v>
      </c>
      <c r="F53" s="840">
        <v>0.02</v>
      </c>
      <c r="G53" s="839">
        <v>23890.959999999999</v>
      </c>
      <c r="H53" s="840">
        <v>0.02</v>
      </c>
      <c r="I53" s="839">
        <v>23890.959999999999</v>
      </c>
      <c r="J53" s="840">
        <v>0.02</v>
      </c>
      <c r="K53" s="839">
        <v>23890.959999999999</v>
      </c>
      <c r="L53" s="840">
        <v>0.02</v>
      </c>
      <c r="M53" s="829"/>
      <c r="N53" s="829"/>
      <c r="O53" s="829"/>
      <c r="P53" s="829"/>
      <c r="Q53" s="829"/>
      <c r="R53" s="829"/>
      <c r="S53" s="829"/>
      <c r="T53" s="829"/>
      <c r="U53" s="829"/>
      <c r="V53" s="829"/>
      <c r="W53" s="829"/>
      <c r="X53" s="829"/>
      <c r="Y53" s="829"/>
      <c r="Z53" s="829"/>
      <c r="AA53" s="934"/>
      <c r="AB53" s="934"/>
      <c r="AC53" s="934"/>
      <c r="AD53" s="934"/>
      <c r="AE53" s="934"/>
      <c r="AF53" s="934"/>
      <c r="AG53" s="934"/>
      <c r="AH53" s="934"/>
      <c r="AI53" s="934"/>
      <c r="AJ53" s="934"/>
      <c r="AK53" s="934"/>
      <c r="AL53" s="934"/>
      <c r="AM53" s="934"/>
      <c r="AN53" s="934"/>
      <c r="AO53" s="934"/>
      <c r="AP53" s="934"/>
      <c r="AQ53" s="934"/>
      <c r="AR53" s="934"/>
      <c r="AS53" s="838">
        <v>19191.239999999998</v>
      </c>
      <c r="AT53" s="934">
        <v>0.02</v>
      </c>
    </row>
    <row r="54" spans="1:46" ht="15">
      <c r="A54" s="1049" t="s">
        <v>127</v>
      </c>
      <c r="B54" s="1050"/>
      <c r="C54" s="838">
        <v>84749.36</v>
      </c>
      <c r="D54" s="840">
        <v>0.08</v>
      </c>
      <c r="E54" s="838">
        <v>84749.36</v>
      </c>
      <c r="F54" s="840">
        <v>0.08</v>
      </c>
      <c r="G54" s="838">
        <v>84749.36</v>
      </c>
      <c r="H54" s="840">
        <v>0.08</v>
      </c>
      <c r="I54" s="838">
        <v>84749.36</v>
      </c>
      <c r="J54" s="840">
        <v>0.08</v>
      </c>
      <c r="K54" s="838">
        <v>84749.36</v>
      </c>
      <c r="L54" s="840">
        <v>0.08</v>
      </c>
      <c r="M54" s="884">
        <v>84749.36</v>
      </c>
      <c r="N54" s="840">
        <v>0.08</v>
      </c>
      <c r="O54" s="884">
        <v>84749.36</v>
      </c>
      <c r="P54" s="840">
        <v>0.08</v>
      </c>
      <c r="Q54" s="884">
        <v>84749.36</v>
      </c>
      <c r="R54" s="840">
        <v>0.08</v>
      </c>
      <c r="S54" s="884">
        <v>84749.36</v>
      </c>
      <c r="T54" s="840">
        <v>0.08</v>
      </c>
      <c r="U54" s="884">
        <v>84749.36</v>
      </c>
      <c r="V54" s="840">
        <v>0.08</v>
      </c>
      <c r="W54" s="884">
        <v>84749.36</v>
      </c>
      <c r="X54" s="840">
        <v>0.08</v>
      </c>
      <c r="Y54" s="884">
        <v>84749.36</v>
      </c>
      <c r="Z54" s="840">
        <v>0.08</v>
      </c>
      <c r="AA54" s="884">
        <v>84749.36</v>
      </c>
      <c r="AB54" s="935">
        <v>0.08</v>
      </c>
      <c r="AC54" s="884">
        <v>84749.36</v>
      </c>
      <c r="AD54" s="935">
        <v>0.08</v>
      </c>
      <c r="AE54" s="884">
        <v>84749.36</v>
      </c>
      <c r="AF54" s="935">
        <v>0.08</v>
      </c>
      <c r="AG54" s="884">
        <v>84749.36</v>
      </c>
      <c r="AH54" s="935">
        <v>0.08</v>
      </c>
      <c r="AI54" s="884">
        <v>84749.36</v>
      </c>
      <c r="AJ54" s="935">
        <v>0.08</v>
      </c>
      <c r="AK54" s="884">
        <v>84749.36</v>
      </c>
      <c r="AL54" s="935">
        <v>0.08</v>
      </c>
      <c r="AM54" s="884">
        <v>84749.36</v>
      </c>
      <c r="AN54" s="935">
        <v>0.08</v>
      </c>
      <c r="AO54" s="884">
        <v>84749.36</v>
      </c>
      <c r="AP54" s="935">
        <v>0.08</v>
      </c>
      <c r="AQ54" s="961">
        <v>84749.36</v>
      </c>
      <c r="AR54" s="935">
        <v>0.08</v>
      </c>
      <c r="AS54" s="838">
        <v>164169.04</v>
      </c>
      <c r="AT54" s="935">
        <v>0.16</v>
      </c>
    </row>
    <row r="55" spans="1:46" ht="31.5">
      <c r="A55" s="133" t="s">
        <v>73</v>
      </c>
      <c r="B55" s="134" t="s">
        <v>53</v>
      </c>
      <c r="C55" s="829"/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  <c r="O55" s="829"/>
      <c r="P55" s="829"/>
      <c r="Q55" s="829"/>
      <c r="R55" s="829"/>
      <c r="S55" s="829"/>
      <c r="T55" s="829"/>
      <c r="U55" s="829"/>
      <c r="V55" s="829"/>
      <c r="W55" s="829"/>
      <c r="X55" s="829"/>
      <c r="Y55" s="829"/>
      <c r="Z55" s="829"/>
      <c r="AA55" s="934"/>
      <c r="AB55" s="934"/>
      <c r="AC55" s="934"/>
      <c r="AD55" s="934"/>
      <c r="AE55" s="934"/>
      <c r="AF55" s="934"/>
      <c r="AG55" s="934"/>
      <c r="AH55" s="934"/>
      <c r="AI55" s="934"/>
      <c r="AJ55" s="934"/>
      <c r="AK55" s="934"/>
      <c r="AL55" s="934"/>
      <c r="AM55" s="934"/>
      <c r="AN55" s="934"/>
      <c r="AO55" s="934"/>
      <c r="AP55" s="934"/>
      <c r="AQ55" s="934"/>
      <c r="AR55" s="934"/>
      <c r="AS55" s="934"/>
      <c r="AT55" s="934"/>
    </row>
    <row r="56" spans="1:46" ht="31.5">
      <c r="A56" s="122" t="s">
        <v>54</v>
      </c>
      <c r="B56" s="123" t="s">
        <v>79</v>
      </c>
      <c r="C56" s="837">
        <v>2078.85</v>
      </c>
      <c r="D56" s="473">
        <v>0</v>
      </c>
      <c r="E56" s="837">
        <v>2078.85</v>
      </c>
      <c r="F56" s="473">
        <v>0</v>
      </c>
      <c r="G56" s="837">
        <v>2078.85</v>
      </c>
      <c r="H56" s="473">
        <v>0</v>
      </c>
      <c r="I56" s="837">
        <v>2078.85</v>
      </c>
      <c r="J56" s="473">
        <v>0</v>
      </c>
      <c r="K56" s="837">
        <v>2078.85</v>
      </c>
      <c r="L56" s="473">
        <v>0</v>
      </c>
      <c r="M56" s="880">
        <v>2078.85</v>
      </c>
      <c r="N56" s="473">
        <v>0</v>
      </c>
      <c r="O56" s="829"/>
      <c r="P56" s="829"/>
      <c r="Q56" s="829"/>
      <c r="R56" s="829"/>
      <c r="S56" s="829"/>
      <c r="T56" s="829"/>
      <c r="U56" s="829"/>
      <c r="V56" s="829"/>
      <c r="W56" s="829"/>
      <c r="X56" s="829"/>
      <c r="Y56" s="829"/>
      <c r="Z56" s="829"/>
      <c r="AA56" s="934"/>
      <c r="AB56" s="934"/>
      <c r="AC56" s="934"/>
      <c r="AD56" s="934"/>
      <c r="AE56" s="934"/>
      <c r="AF56" s="934"/>
      <c r="AG56" s="934"/>
      <c r="AH56" s="934"/>
      <c r="AI56" s="934"/>
      <c r="AJ56" s="934"/>
      <c r="AK56" s="934"/>
      <c r="AL56" s="934"/>
      <c r="AM56" s="934"/>
      <c r="AN56" s="934"/>
      <c r="AO56" s="934"/>
      <c r="AP56" s="934"/>
      <c r="AQ56" s="934"/>
      <c r="AR56" s="934"/>
      <c r="AS56" s="950">
        <v>2195.5</v>
      </c>
      <c r="AT56" s="934"/>
    </row>
    <row r="57" spans="1:46" ht="32.25" thickBot="1">
      <c r="A57" s="135" t="s">
        <v>55</v>
      </c>
      <c r="B57" s="223" t="s">
        <v>80</v>
      </c>
      <c r="C57" s="837">
        <v>860.78</v>
      </c>
      <c r="D57" s="473">
        <v>0</v>
      </c>
      <c r="E57" s="837">
        <v>860.78</v>
      </c>
      <c r="F57" s="473">
        <v>0</v>
      </c>
      <c r="G57" s="837">
        <v>860.78</v>
      </c>
      <c r="H57" s="473">
        <v>0</v>
      </c>
      <c r="I57" s="837">
        <v>860.78</v>
      </c>
      <c r="J57" s="473">
        <v>0</v>
      </c>
      <c r="K57" s="837">
        <v>860.78</v>
      </c>
      <c r="L57" s="473">
        <v>0</v>
      </c>
      <c r="M57" s="880">
        <v>860.78</v>
      </c>
      <c r="N57" s="473">
        <v>0</v>
      </c>
      <c r="O57" s="880">
        <v>860.78</v>
      </c>
      <c r="P57" s="473">
        <v>0</v>
      </c>
      <c r="Q57" s="880">
        <v>860.78</v>
      </c>
      <c r="R57" s="473">
        <v>0</v>
      </c>
      <c r="S57" s="880">
        <v>860.78</v>
      </c>
      <c r="T57" s="473">
        <v>0</v>
      </c>
      <c r="U57" s="880">
        <v>860.78</v>
      </c>
      <c r="V57" s="473">
        <v>0</v>
      </c>
      <c r="W57" s="880">
        <v>860.78</v>
      </c>
      <c r="X57" s="473">
        <v>0</v>
      </c>
      <c r="Y57" s="829"/>
      <c r="Z57" s="829"/>
      <c r="AA57" s="934"/>
      <c r="AB57" s="934"/>
      <c r="AC57" s="934"/>
      <c r="AD57" s="934"/>
      <c r="AE57" s="934"/>
      <c r="AF57" s="934"/>
      <c r="AG57" s="934"/>
      <c r="AH57" s="934"/>
      <c r="AI57" s="934"/>
      <c r="AJ57" s="934"/>
      <c r="AK57" s="934"/>
      <c r="AL57" s="934"/>
      <c r="AM57" s="934"/>
      <c r="AN57" s="934"/>
      <c r="AO57" s="934"/>
      <c r="AP57" s="934"/>
      <c r="AQ57" s="934"/>
      <c r="AR57" s="934"/>
      <c r="AS57" s="951">
        <v>860.78</v>
      </c>
      <c r="AT57" s="934"/>
    </row>
    <row r="58" spans="1:46" ht="16.5" thickBot="1">
      <c r="A58" s="221" t="s">
        <v>99</v>
      </c>
      <c r="B58" s="222"/>
      <c r="C58" s="827"/>
      <c r="D58" s="820"/>
      <c r="E58" s="827"/>
      <c r="F58" s="820"/>
      <c r="G58" s="827"/>
      <c r="H58" s="820"/>
      <c r="I58" s="827"/>
      <c r="J58" s="820"/>
      <c r="K58" s="827"/>
      <c r="L58" s="820"/>
      <c r="M58" s="827"/>
      <c r="N58" s="820"/>
      <c r="O58" s="827"/>
      <c r="P58" s="820"/>
      <c r="Q58" s="827"/>
      <c r="R58" s="820"/>
      <c r="S58" s="827"/>
      <c r="T58" s="820"/>
      <c r="U58" s="827"/>
      <c r="V58" s="820"/>
      <c r="W58" s="827"/>
      <c r="X58" s="820"/>
      <c r="Y58" s="827"/>
      <c r="Z58" s="820"/>
      <c r="AA58" s="830">
        <v>122802.9</v>
      </c>
      <c r="AB58" s="924">
        <v>0.12</v>
      </c>
      <c r="AC58" s="830">
        <v>122802.9</v>
      </c>
      <c r="AD58" s="924">
        <v>0.12</v>
      </c>
      <c r="AE58" s="830">
        <v>122802.9</v>
      </c>
      <c r="AF58" s="924">
        <v>0.12</v>
      </c>
      <c r="AG58" s="934"/>
      <c r="AH58" s="934"/>
      <c r="AI58" s="934"/>
      <c r="AJ58" s="934"/>
      <c r="AK58" s="934"/>
      <c r="AL58" s="934"/>
      <c r="AM58" s="934"/>
      <c r="AN58" s="934"/>
      <c r="AO58" s="934"/>
      <c r="AP58" s="934"/>
      <c r="AQ58" s="934"/>
      <c r="AR58" s="934"/>
      <c r="AS58" s="934"/>
      <c r="AT58" s="934"/>
    </row>
    <row r="59" spans="1:46" ht="15">
      <c r="A59" s="1045" t="s">
        <v>103</v>
      </c>
      <c r="B59" s="1046" t="s">
        <v>103</v>
      </c>
      <c r="C59" s="473">
        <v>1431.16</v>
      </c>
      <c r="D59" s="828">
        <v>0</v>
      </c>
      <c r="E59" s="473">
        <v>5724.66</v>
      </c>
      <c r="F59" s="828">
        <v>0.01</v>
      </c>
      <c r="G59" s="473">
        <v>7155.82</v>
      </c>
      <c r="H59" s="828">
        <v>0.01</v>
      </c>
      <c r="I59" s="871">
        <v>8586.99</v>
      </c>
      <c r="J59" s="873">
        <v>0.01</v>
      </c>
      <c r="K59" s="473">
        <v>10018.15</v>
      </c>
      <c r="L59" s="873">
        <v>0.01</v>
      </c>
      <c r="M59" s="511">
        <v>11449.32</v>
      </c>
      <c r="N59" s="873">
        <v>0.01</v>
      </c>
      <c r="O59" s="473">
        <v>15742.81</v>
      </c>
      <c r="P59" s="873">
        <v>0.01</v>
      </c>
      <c r="Q59" s="473">
        <v>17173.97</v>
      </c>
      <c r="R59" s="873">
        <v>0.02</v>
      </c>
      <c r="S59" s="473">
        <v>18605.14</v>
      </c>
      <c r="T59" s="873">
        <v>0.02</v>
      </c>
      <c r="U59" s="473">
        <v>20036.3</v>
      </c>
      <c r="V59" s="873">
        <v>0.02</v>
      </c>
      <c r="W59" s="473">
        <v>21467.47</v>
      </c>
      <c r="X59" s="873">
        <v>0.02</v>
      </c>
      <c r="Y59" s="473">
        <v>25760.959999999999</v>
      </c>
      <c r="Z59" s="873">
        <v>0.02</v>
      </c>
      <c r="AA59" s="925">
        <v>27192.12</v>
      </c>
      <c r="AB59" s="936">
        <v>0.03</v>
      </c>
      <c r="AC59" s="473">
        <v>28623.29</v>
      </c>
      <c r="AD59" s="936">
        <v>0.03</v>
      </c>
      <c r="AE59" s="473">
        <v>30054.45</v>
      </c>
      <c r="AF59" s="936">
        <v>0.03</v>
      </c>
      <c r="AG59" s="473">
        <v>31485.62</v>
      </c>
      <c r="AH59" s="936">
        <v>0.03</v>
      </c>
      <c r="AI59" s="473">
        <v>35779.11</v>
      </c>
      <c r="AJ59" s="936">
        <v>0.04</v>
      </c>
      <c r="AK59" s="473">
        <v>37210.269999999997</v>
      </c>
      <c r="AL59" s="936">
        <v>0.04</v>
      </c>
      <c r="AM59" s="473">
        <v>38641.440000000002</v>
      </c>
      <c r="AN59" s="936">
        <v>0.04</v>
      </c>
      <c r="AO59" s="473">
        <v>40072.6</v>
      </c>
      <c r="AP59" s="936">
        <v>0.04</v>
      </c>
      <c r="AQ59" s="957">
        <v>41503.769999999997</v>
      </c>
      <c r="AR59" s="936">
        <v>0.04</v>
      </c>
      <c r="AS59" s="473">
        <v>44366.1</v>
      </c>
      <c r="AT59" s="936">
        <v>0.04</v>
      </c>
    </row>
    <row r="60" spans="1:46" ht="15">
      <c r="A60" s="785"/>
      <c r="B60" s="786"/>
      <c r="C60" s="473">
        <v>858.7</v>
      </c>
      <c r="D60" s="828">
        <v>0</v>
      </c>
      <c r="E60" s="473">
        <v>3434.79</v>
      </c>
      <c r="F60" s="828">
        <v>0</v>
      </c>
      <c r="G60" s="473">
        <v>4293.49</v>
      </c>
      <c r="H60" s="828">
        <v>0</v>
      </c>
      <c r="I60" s="871">
        <v>5152.1899999999996</v>
      </c>
      <c r="J60" s="873">
        <v>0</v>
      </c>
      <c r="K60" s="473">
        <v>6010.89</v>
      </c>
      <c r="L60" s="873">
        <v>0.01</v>
      </c>
      <c r="M60" s="473">
        <v>6869.59</v>
      </c>
      <c r="N60" s="873">
        <v>0.01</v>
      </c>
      <c r="O60" s="473">
        <v>9445.68</v>
      </c>
      <c r="P60" s="873">
        <v>0.01</v>
      </c>
      <c r="Q60" s="473">
        <v>10304.379999999999</v>
      </c>
      <c r="R60" s="873">
        <v>0.01</v>
      </c>
      <c r="S60" s="473">
        <v>11163.08</v>
      </c>
      <c r="T60" s="873">
        <v>0.01</v>
      </c>
      <c r="U60" s="473">
        <v>12021.78</v>
      </c>
      <c r="V60" s="873">
        <v>0.01</v>
      </c>
      <c r="W60" s="473">
        <v>12880.48</v>
      </c>
      <c r="X60" s="873">
        <v>0.01</v>
      </c>
      <c r="Y60" s="473">
        <v>15456.58</v>
      </c>
      <c r="Z60" s="873">
        <v>0.01</v>
      </c>
      <c r="AA60" s="925">
        <v>16315.27</v>
      </c>
      <c r="AB60" s="936">
        <v>0.02</v>
      </c>
      <c r="AC60" s="473">
        <v>17173.97</v>
      </c>
      <c r="AD60" s="936">
        <v>0.02</v>
      </c>
      <c r="AE60" s="473">
        <v>18032.669999999998</v>
      </c>
      <c r="AF60" s="936">
        <v>0.02</v>
      </c>
      <c r="AG60" s="473">
        <v>18891.37</v>
      </c>
      <c r="AH60" s="936">
        <v>0.02</v>
      </c>
      <c r="AI60" s="473">
        <v>21467.47</v>
      </c>
      <c r="AJ60" s="936">
        <v>0.02</v>
      </c>
      <c r="AK60" s="473">
        <v>22326.16</v>
      </c>
      <c r="AL60" s="936">
        <v>0.02</v>
      </c>
      <c r="AM60" s="473">
        <v>23184.86</v>
      </c>
      <c r="AN60" s="936">
        <v>0.02</v>
      </c>
      <c r="AO60" s="473">
        <v>24043.56</v>
      </c>
      <c r="AP60" s="936">
        <v>0.02</v>
      </c>
      <c r="AQ60" s="957">
        <v>24902.26</v>
      </c>
      <c r="AR60" s="936">
        <v>0.02</v>
      </c>
      <c r="AS60" s="473">
        <v>26619.66</v>
      </c>
      <c r="AT60" s="936">
        <v>0.03</v>
      </c>
    </row>
    <row r="61" spans="1:46" ht="15" customHeight="1">
      <c r="A61" s="835" t="s">
        <v>95</v>
      </c>
      <c r="B61" s="836" t="s">
        <v>95</v>
      </c>
      <c r="C61" s="536">
        <v>1669.69</v>
      </c>
      <c r="D61" s="828">
        <v>0</v>
      </c>
      <c r="E61" s="536">
        <v>6678.77</v>
      </c>
      <c r="F61" s="828">
        <v>0.01</v>
      </c>
      <c r="G61" s="536">
        <v>8348.4599999999991</v>
      </c>
      <c r="H61" s="828">
        <v>0.01</v>
      </c>
      <c r="I61" s="872">
        <v>10018.15</v>
      </c>
      <c r="J61" s="874">
        <v>0.01</v>
      </c>
      <c r="K61" s="536">
        <v>11687.84</v>
      </c>
      <c r="L61" s="874">
        <v>0.01</v>
      </c>
      <c r="M61" s="511">
        <v>13357.53</v>
      </c>
      <c r="N61" s="874">
        <v>0.01</v>
      </c>
      <c r="O61" s="536">
        <v>18366.61</v>
      </c>
      <c r="P61" s="874">
        <v>0.02</v>
      </c>
      <c r="Q61" s="536">
        <v>20036.3</v>
      </c>
      <c r="R61" s="874">
        <v>0.02</v>
      </c>
      <c r="S61" s="536">
        <v>21705.99</v>
      </c>
      <c r="T61" s="874">
        <v>0.02</v>
      </c>
      <c r="U61" s="536">
        <v>23375.68</v>
      </c>
      <c r="V61" s="874">
        <v>0.02</v>
      </c>
      <c r="W61" s="536">
        <v>25045.38</v>
      </c>
      <c r="X61" s="874">
        <v>0.02</v>
      </c>
      <c r="Y61" s="536">
        <v>30054.45</v>
      </c>
      <c r="Z61" s="874">
        <v>0.03</v>
      </c>
      <c r="AA61" s="925">
        <v>31724.14</v>
      </c>
      <c r="AB61" s="936">
        <v>0.03</v>
      </c>
      <c r="AC61" s="536">
        <v>33393.839999999997</v>
      </c>
      <c r="AD61" s="936">
        <v>0.03</v>
      </c>
      <c r="AE61" s="536">
        <v>35063.53</v>
      </c>
      <c r="AF61" s="936">
        <v>0.03</v>
      </c>
      <c r="AG61" s="536">
        <v>36733.22</v>
      </c>
      <c r="AH61" s="936">
        <v>0.04</v>
      </c>
      <c r="AI61" s="536">
        <v>41742.29</v>
      </c>
      <c r="AJ61" s="936">
        <v>0.04</v>
      </c>
      <c r="AK61" s="536">
        <v>43411.99</v>
      </c>
      <c r="AL61" s="936">
        <v>0.04</v>
      </c>
      <c r="AM61" s="536">
        <v>45081.68</v>
      </c>
      <c r="AN61" s="936">
        <v>0.04</v>
      </c>
      <c r="AO61" s="536">
        <v>46751.37</v>
      </c>
      <c r="AP61" s="936">
        <v>0.04</v>
      </c>
      <c r="AQ61" s="957">
        <v>48421.06</v>
      </c>
      <c r="AR61" s="936">
        <v>0.05</v>
      </c>
      <c r="AS61" s="536">
        <v>51760.45</v>
      </c>
      <c r="AT61" s="936">
        <v>0.05</v>
      </c>
    </row>
    <row r="62" spans="1:46" ht="15" customHeight="1">
      <c r="A62" s="835"/>
      <c r="B62" s="836" t="s">
        <v>95</v>
      </c>
      <c r="C62" s="536">
        <v>531.58000000000004</v>
      </c>
      <c r="D62" s="828">
        <v>0</v>
      </c>
      <c r="E62" s="536">
        <v>2126.3000000000002</v>
      </c>
      <c r="F62" s="828">
        <v>0</v>
      </c>
      <c r="G62" s="536">
        <v>2657.88</v>
      </c>
      <c r="H62" s="828">
        <v>0</v>
      </c>
      <c r="I62" s="872">
        <v>3189.45</v>
      </c>
      <c r="J62" s="874">
        <v>0</v>
      </c>
      <c r="K62" s="536">
        <v>3721.03</v>
      </c>
      <c r="L62" s="874">
        <v>0</v>
      </c>
      <c r="M62" s="536">
        <v>4252.6000000000004</v>
      </c>
      <c r="N62" s="874">
        <v>0</v>
      </c>
      <c r="O62" s="536">
        <v>5847.33</v>
      </c>
      <c r="P62" s="874">
        <v>0</v>
      </c>
      <c r="Q62" s="536">
        <v>6378.9</v>
      </c>
      <c r="R62" s="874">
        <v>0</v>
      </c>
      <c r="S62" s="536">
        <v>6910.48</v>
      </c>
      <c r="T62" s="874">
        <v>0.01</v>
      </c>
      <c r="U62" s="536">
        <v>7442.05</v>
      </c>
      <c r="V62" s="874">
        <v>0.01</v>
      </c>
      <c r="W62" s="536">
        <v>7973.63</v>
      </c>
      <c r="X62" s="874">
        <v>0.01</v>
      </c>
      <c r="Y62" s="536">
        <v>9568.36</v>
      </c>
      <c r="Z62" s="874">
        <v>0.01</v>
      </c>
      <c r="AA62" s="925">
        <v>10099.93</v>
      </c>
      <c r="AB62" s="936">
        <v>0.01</v>
      </c>
      <c r="AC62" s="536">
        <v>10631.51</v>
      </c>
      <c r="AD62" s="936">
        <v>0.01</v>
      </c>
      <c r="AE62" s="536">
        <v>11163.08</v>
      </c>
      <c r="AF62" s="936">
        <v>0.01</v>
      </c>
      <c r="AG62" s="536">
        <v>11694.66</v>
      </c>
      <c r="AH62" s="936">
        <v>0.01</v>
      </c>
      <c r="AI62" s="536">
        <v>13289.38</v>
      </c>
      <c r="AJ62" s="936">
        <v>0.01</v>
      </c>
      <c r="AK62" s="536">
        <v>13820.96</v>
      </c>
      <c r="AL62" s="936">
        <v>0.01</v>
      </c>
      <c r="AM62" s="536">
        <v>14352.53</v>
      </c>
      <c r="AN62" s="936">
        <v>0.01</v>
      </c>
      <c r="AO62" s="536">
        <v>14884.11</v>
      </c>
      <c r="AP62" s="936">
        <v>0.01</v>
      </c>
      <c r="AQ62" s="957">
        <v>15415.68</v>
      </c>
      <c r="AR62" s="936">
        <v>0.01</v>
      </c>
      <c r="AS62" s="536">
        <v>16478.84</v>
      </c>
      <c r="AT62" s="936">
        <v>0.02</v>
      </c>
    </row>
    <row r="63" spans="1:46" ht="15" customHeight="1">
      <c r="A63" s="889"/>
      <c r="B63" s="890"/>
      <c r="C63" s="536"/>
      <c r="D63" s="828"/>
      <c r="E63" s="536"/>
      <c r="F63" s="828"/>
      <c r="G63" s="536"/>
      <c r="H63" s="828"/>
      <c r="I63" s="872"/>
      <c r="J63" s="874"/>
      <c r="K63" s="536"/>
      <c r="L63" s="874"/>
      <c r="M63" s="536"/>
      <c r="N63" s="874"/>
      <c r="O63" s="536"/>
      <c r="P63" s="874"/>
      <c r="Q63" s="536"/>
      <c r="R63" s="874"/>
      <c r="S63" s="552">
        <v>695.14</v>
      </c>
      <c r="T63" s="874">
        <v>0</v>
      </c>
      <c r="U63" s="536">
        <v>1390.27</v>
      </c>
      <c r="V63" s="874">
        <v>0</v>
      </c>
      <c r="W63" s="536">
        <v>2085.41</v>
      </c>
      <c r="X63" s="874">
        <v>0</v>
      </c>
      <c r="Y63" s="536">
        <v>4170.82</v>
      </c>
      <c r="Z63" s="874">
        <v>0</v>
      </c>
      <c r="AA63" s="925">
        <v>4865.96</v>
      </c>
      <c r="AB63" s="936">
        <v>0</v>
      </c>
      <c r="AC63" s="536">
        <v>5561.1</v>
      </c>
      <c r="AD63" s="936">
        <v>0.01</v>
      </c>
      <c r="AE63" s="536">
        <v>6256.23</v>
      </c>
      <c r="AF63" s="936">
        <v>0.01</v>
      </c>
      <c r="AG63" s="536">
        <v>6951.37</v>
      </c>
      <c r="AH63" s="936">
        <v>0.01</v>
      </c>
      <c r="AI63" s="536">
        <v>9036.7800000000007</v>
      </c>
      <c r="AJ63" s="936">
        <v>0.01</v>
      </c>
      <c r="AK63" s="536">
        <v>9731.92</v>
      </c>
      <c r="AL63" s="936">
        <v>0.01</v>
      </c>
      <c r="AM63" s="536">
        <v>10427.049999999999</v>
      </c>
      <c r="AN63" s="936">
        <v>0.01</v>
      </c>
      <c r="AO63" s="536">
        <v>11122.19</v>
      </c>
      <c r="AP63" s="936">
        <v>0.01</v>
      </c>
      <c r="AQ63" s="957">
        <v>11817.33</v>
      </c>
      <c r="AR63" s="936">
        <v>0.01</v>
      </c>
      <c r="AS63" s="957">
        <v>13207.6</v>
      </c>
      <c r="AT63" s="936">
        <v>0.01</v>
      </c>
    </row>
    <row r="64" spans="1:46" ht="15" customHeight="1">
      <c r="A64" s="1040" t="s">
        <v>126</v>
      </c>
      <c r="B64" s="1041"/>
      <c r="C64" s="536">
        <v>210773.71</v>
      </c>
      <c r="D64" s="828">
        <v>0.2</v>
      </c>
      <c r="E64" s="536">
        <v>215226.68</v>
      </c>
      <c r="F64" s="828">
        <v>0.21</v>
      </c>
      <c r="G64" s="536">
        <v>216711</v>
      </c>
      <c r="H64" s="828">
        <v>0.21</v>
      </c>
      <c r="I64" s="872">
        <v>218195.32</v>
      </c>
      <c r="J64" s="874">
        <v>0.21</v>
      </c>
      <c r="K64" s="536">
        <v>219679.64</v>
      </c>
      <c r="L64" s="874">
        <v>0.21</v>
      </c>
      <c r="M64" s="511">
        <v>221163.97</v>
      </c>
      <c r="N64" s="874">
        <v>0.21</v>
      </c>
      <c r="O64" s="536">
        <v>225616.93</v>
      </c>
      <c r="P64" s="874">
        <v>0.22</v>
      </c>
      <c r="Q64" s="536">
        <v>227101.25</v>
      </c>
      <c r="R64" s="874">
        <v>0.22</v>
      </c>
      <c r="S64" s="536">
        <v>228585.58</v>
      </c>
      <c r="T64" s="874">
        <v>0.22</v>
      </c>
      <c r="U64" s="536">
        <v>230069.9</v>
      </c>
      <c r="V64" s="874">
        <v>0.22</v>
      </c>
      <c r="W64" s="536">
        <v>231554.22</v>
      </c>
      <c r="X64" s="874">
        <v>0.22</v>
      </c>
      <c r="Y64" s="536">
        <v>236007.18</v>
      </c>
      <c r="Z64" s="874">
        <v>0.23</v>
      </c>
      <c r="AA64" s="925">
        <v>237491.51</v>
      </c>
      <c r="AB64" s="936">
        <v>0.23</v>
      </c>
      <c r="AC64" s="536">
        <v>238975.83</v>
      </c>
      <c r="AD64" s="936">
        <v>0.23</v>
      </c>
      <c r="AE64" s="536">
        <v>240460.15</v>
      </c>
      <c r="AF64" s="936">
        <v>0.23</v>
      </c>
      <c r="AG64" s="536">
        <v>241944.47</v>
      </c>
      <c r="AH64" s="936">
        <v>0.23</v>
      </c>
      <c r="AI64" s="536">
        <v>246397.44</v>
      </c>
      <c r="AJ64" s="936">
        <v>0.24000000000000002</v>
      </c>
      <c r="AK64" s="536">
        <v>247881.76</v>
      </c>
      <c r="AL64" s="936">
        <v>0.24</v>
      </c>
      <c r="AM64" s="536">
        <v>249366.08</v>
      </c>
      <c r="AN64" s="936">
        <v>0.24</v>
      </c>
      <c r="AO64" s="536">
        <v>250850.4</v>
      </c>
      <c r="AP64" s="936">
        <v>0.24</v>
      </c>
      <c r="AQ64" s="957">
        <v>252334.73</v>
      </c>
      <c r="AR64" s="936">
        <v>0.24</v>
      </c>
      <c r="AS64" s="536">
        <v>255303.37</v>
      </c>
      <c r="AT64" s="936">
        <v>0.24</v>
      </c>
    </row>
    <row r="65" spans="1:46" ht="15" customHeight="1">
      <c r="A65" s="1040" t="s">
        <v>126</v>
      </c>
      <c r="B65" s="1041"/>
      <c r="C65" s="536">
        <v>2044.52</v>
      </c>
      <c r="D65" s="828">
        <v>0</v>
      </c>
      <c r="E65" s="536">
        <v>3066.78</v>
      </c>
      <c r="F65" s="828">
        <v>0</v>
      </c>
      <c r="G65" s="536">
        <v>3407.53</v>
      </c>
      <c r="H65" s="828">
        <v>0</v>
      </c>
      <c r="I65" s="872">
        <v>3748.29</v>
      </c>
      <c r="J65" s="874">
        <v>0</v>
      </c>
      <c r="K65" s="536">
        <v>4089.04</v>
      </c>
      <c r="L65" s="874">
        <v>0</v>
      </c>
      <c r="M65" s="511">
        <v>4429.79</v>
      </c>
      <c r="N65" s="874">
        <v>0</v>
      </c>
      <c r="O65" s="536">
        <v>5452.05</v>
      </c>
      <c r="P65" s="874">
        <v>0.01</v>
      </c>
      <c r="Q65" s="536">
        <v>5792.81</v>
      </c>
      <c r="R65" s="874">
        <v>0.01</v>
      </c>
      <c r="S65" s="536">
        <v>6133.56</v>
      </c>
      <c r="T65" s="874">
        <v>0.01</v>
      </c>
      <c r="U65" s="536">
        <v>6474.32</v>
      </c>
      <c r="V65" s="874">
        <v>0.01</v>
      </c>
      <c r="W65" s="536">
        <v>6815.07</v>
      </c>
      <c r="X65" s="874">
        <v>0.01</v>
      </c>
      <c r="Y65" s="536">
        <v>7837.33</v>
      </c>
      <c r="Z65" s="874">
        <v>0.01</v>
      </c>
      <c r="AA65" s="925">
        <v>8178.08</v>
      </c>
      <c r="AB65" s="936">
        <v>0.01</v>
      </c>
      <c r="AC65" s="536">
        <v>8518.84</v>
      </c>
      <c r="AD65" s="936">
        <v>0.01</v>
      </c>
      <c r="AE65" s="536">
        <v>8859.59</v>
      </c>
      <c r="AF65" s="936">
        <v>0.01</v>
      </c>
      <c r="AG65" s="536">
        <v>9200.34</v>
      </c>
      <c r="AH65" s="936">
        <v>0.01</v>
      </c>
      <c r="AI65" s="536">
        <v>10222.6</v>
      </c>
      <c r="AJ65" s="936">
        <v>0.01</v>
      </c>
      <c r="AK65" s="536">
        <v>10563.36</v>
      </c>
      <c r="AL65" s="936">
        <v>0.01</v>
      </c>
      <c r="AM65" s="536">
        <v>340.75</v>
      </c>
      <c r="AN65" s="936">
        <v>0</v>
      </c>
      <c r="AO65" s="536">
        <v>681.51</v>
      </c>
      <c r="AP65" s="936">
        <v>0</v>
      </c>
      <c r="AQ65" s="957">
        <v>1022.26</v>
      </c>
      <c r="AR65" s="936">
        <v>0</v>
      </c>
      <c r="AS65" s="536">
        <v>1703.77</v>
      </c>
      <c r="AT65" s="936">
        <v>0</v>
      </c>
    </row>
    <row r="66" spans="1:46" ht="15">
      <c r="A66" s="783"/>
      <c r="B66" s="784"/>
      <c r="C66" s="536">
        <v>14873.21</v>
      </c>
      <c r="D66" s="828">
        <v>0.01</v>
      </c>
      <c r="E66" s="536">
        <v>15887.29</v>
      </c>
      <c r="F66" s="828">
        <v>0.02</v>
      </c>
      <c r="G66" s="536">
        <v>16225.32</v>
      </c>
      <c r="H66" s="828">
        <v>0.02</v>
      </c>
      <c r="I66" s="872">
        <v>16563.34</v>
      </c>
      <c r="J66" s="874">
        <v>0.02</v>
      </c>
      <c r="K66" s="536">
        <v>16901.37</v>
      </c>
      <c r="L66" s="874">
        <v>0.02</v>
      </c>
      <c r="M66" s="511">
        <v>17239.400000000001</v>
      </c>
      <c r="N66" s="874">
        <v>0.02</v>
      </c>
      <c r="O66" s="536">
        <v>18253.48</v>
      </c>
      <c r="P66" s="874">
        <v>0.02</v>
      </c>
      <c r="Q66" s="536">
        <v>18591.509999999998</v>
      </c>
      <c r="R66" s="874">
        <v>0.02</v>
      </c>
      <c r="S66" s="536">
        <v>18929.53</v>
      </c>
      <c r="T66" s="874">
        <v>0.02</v>
      </c>
      <c r="U66" s="536">
        <v>19267.560000000001</v>
      </c>
      <c r="V66" s="874">
        <v>0.02</v>
      </c>
      <c r="W66" s="536">
        <v>19605.59</v>
      </c>
      <c r="X66" s="874">
        <v>0.02</v>
      </c>
      <c r="Y66" s="536">
        <v>20619.669999999998</v>
      </c>
      <c r="Z66" s="874">
        <v>0.02</v>
      </c>
      <c r="AA66" s="925">
        <v>20957.7</v>
      </c>
      <c r="AB66" s="936">
        <v>0.02</v>
      </c>
      <c r="AC66" s="536">
        <v>21295.73</v>
      </c>
      <c r="AD66" s="936">
        <v>0.02</v>
      </c>
      <c r="AE66" s="536">
        <v>21633.75</v>
      </c>
      <c r="AF66" s="936">
        <v>0.02</v>
      </c>
      <c r="AG66" s="536">
        <v>21971.78</v>
      </c>
      <c r="AH66" s="936">
        <v>0.02</v>
      </c>
      <c r="AI66" s="536">
        <v>22985.86</v>
      </c>
      <c r="AJ66" s="936">
        <v>0.02</v>
      </c>
      <c r="AK66" s="536">
        <v>23323.89</v>
      </c>
      <c r="AL66" s="936">
        <v>0.02</v>
      </c>
      <c r="AM66" s="536">
        <v>23661.919999999998</v>
      </c>
      <c r="AN66" s="936">
        <v>0.02</v>
      </c>
      <c r="AO66" s="536">
        <v>23999.95</v>
      </c>
      <c r="AP66" s="936">
        <v>0.02</v>
      </c>
      <c r="AQ66" s="957">
        <v>24337.97</v>
      </c>
      <c r="AR66" s="936">
        <v>0.02</v>
      </c>
      <c r="AS66" s="536">
        <v>25014.03</v>
      </c>
      <c r="AT66" s="936">
        <v>0.02</v>
      </c>
    </row>
    <row r="67" spans="1:46" ht="15">
      <c r="A67" s="783"/>
      <c r="B67" s="784"/>
      <c r="C67" s="536"/>
      <c r="D67" s="828"/>
      <c r="E67" s="536"/>
      <c r="F67" s="828"/>
      <c r="G67" s="536"/>
      <c r="H67" s="828"/>
      <c r="I67" s="872"/>
      <c r="J67" s="874"/>
      <c r="K67" s="552">
        <v>676.05</v>
      </c>
      <c r="L67" s="874">
        <v>0</v>
      </c>
      <c r="M67" s="766">
        <v>1352.11</v>
      </c>
      <c r="N67" s="874">
        <v>0</v>
      </c>
      <c r="O67" s="536">
        <v>3380.27</v>
      </c>
      <c r="P67" s="874">
        <v>0</v>
      </c>
      <c r="Q67" s="536">
        <v>4056.33</v>
      </c>
      <c r="R67" s="874">
        <v>0</v>
      </c>
      <c r="S67" s="536">
        <v>4732.38</v>
      </c>
      <c r="T67" s="874">
        <v>0</v>
      </c>
      <c r="U67" s="536">
        <v>5408.44</v>
      </c>
      <c r="V67" s="874">
        <v>0.01</v>
      </c>
      <c r="W67" s="536">
        <v>6084.49</v>
      </c>
      <c r="X67" s="874">
        <v>0.01</v>
      </c>
      <c r="Y67" s="536">
        <v>8112.66</v>
      </c>
      <c r="Z67" s="874">
        <v>0.01</v>
      </c>
      <c r="AA67" s="925">
        <v>8788.7099999999991</v>
      </c>
      <c r="AB67" s="936">
        <v>0.01</v>
      </c>
      <c r="AC67" s="536">
        <v>9464.77</v>
      </c>
      <c r="AD67" s="936">
        <v>0.01</v>
      </c>
      <c r="AE67" s="536">
        <v>10140.82</v>
      </c>
      <c r="AF67" s="936">
        <v>0.01</v>
      </c>
      <c r="AG67" s="536">
        <v>10816.88</v>
      </c>
      <c r="AH67" s="936">
        <v>0.01</v>
      </c>
      <c r="AI67" s="536">
        <v>12845.04</v>
      </c>
      <c r="AJ67" s="936">
        <v>0.01</v>
      </c>
      <c r="AK67" s="536">
        <v>13521.1</v>
      </c>
      <c r="AL67" s="936">
        <v>0.01</v>
      </c>
      <c r="AM67" s="536">
        <v>14197.15</v>
      </c>
      <c r="AN67" s="936">
        <v>0.01</v>
      </c>
      <c r="AO67" s="536">
        <v>14873.21</v>
      </c>
      <c r="AP67" s="936">
        <v>0.01</v>
      </c>
      <c r="AQ67" s="957">
        <v>15549.26</v>
      </c>
      <c r="AR67" s="936">
        <v>0.01</v>
      </c>
      <c r="AS67" s="536">
        <v>16901.37</v>
      </c>
      <c r="AT67" s="936">
        <v>0.02</v>
      </c>
    </row>
    <row r="68" spans="1:46" ht="15" customHeight="1">
      <c r="A68" s="1042" t="s">
        <v>58</v>
      </c>
      <c r="B68" s="1043"/>
      <c r="C68" s="536">
        <v>233.89</v>
      </c>
      <c r="D68" s="828">
        <v>0</v>
      </c>
      <c r="E68" s="536">
        <v>935.57</v>
      </c>
      <c r="F68" s="828">
        <v>0</v>
      </c>
      <c r="G68" s="536">
        <v>1169.47</v>
      </c>
      <c r="H68" s="828">
        <v>0</v>
      </c>
      <c r="I68" s="872">
        <v>1206.68</v>
      </c>
      <c r="J68" s="874">
        <v>0</v>
      </c>
      <c r="K68" s="536">
        <v>0</v>
      </c>
      <c r="L68" s="874">
        <v>0</v>
      </c>
      <c r="M68" s="511">
        <v>37.29</v>
      </c>
      <c r="N68" s="874">
        <v>0</v>
      </c>
      <c r="O68" s="536">
        <v>149.16999999999999</v>
      </c>
      <c r="P68" s="874">
        <v>0</v>
      </c>
      <c r="Q68" s="536">
        <v>186.46</v>
      </c>
      <c r="R68" s="874">
        <v>0</v>
      </c>
      <c r="S68" s="536">
        <v>238.88</v>
      </c>
      <c r="T68" s="874">
        <v>0</v>
      </c>
      <c r="U68" s="536">
        <v>291.3</v>
      </c>
      <c r="V68" s="874">
        <v>0</v>
      </c>
      <c r="W68" s="536">
        <v>343.72</v>
      </c>
      <c r="X68" s="874">
        <v>0</v>
      </c>
      <c r="Y68" s="536">
        <v>500.99</v>
      </c>
      <c r="Z68" s="874">
        <v>0</v>
      </c>
      <c r="AA68" s="925">
        <v>553.41</v>
      </c>
      <c r="AB68" s="936">
        <v>0</v>
      </c>
      <c r="AC68" s="536">
        <v>605.83000000000004</v>
      </c>
      <c r="AD68" s="936">
        <v>0</v>
      </c>
      <c r="AE68" s="536">
        <v>664.79</v>
      </c>
      <c r="AF68" s="936">
        <v>0</v>
      </c>
      <c r="AG68" s="536">
        <v>723.76</v>
      </c>
      <c r="AH68" s="936">
        <v>0</v>
      </c>
      <c r="AI68" s="536">
        <v>900.65</v>
      </c>
      <c r="AJ68" s="936">
        <v>0</v>
      </c>
      <c r="AK68" s="536">
        <v>959.61</v>
      </c>
      <c r="AL68" s="936">
        <v>0</v>
      </c>
      <c r="AM68" s="536">
        <v>1018.58</v>
      </c>
      <c r="AN68" s="936">
        <v>0</v>
      </c>
      <c r="AO68" s="536">
        <v>1077.54</v>
      </c>
      <c r="AP68" s="936">
        <v>0</v>
      </c>
      <c r="AQ68" s="957">
        <v>1136.51</v>
      </c>
      <c r="AR68" s="936">
        <v>0</v>
      </c>
      <c r="AS68" s="536">
        <f>1254.43+77.35</f>
        <v>1331.78</v>
      </c>
      <c r="AT68" s="936">
        <v>0</v>
      </c>
    </row>
    <row r="69" spans="1:46" s="459" customFormat="1">
      <c r="A69" s="458" t="s">
        <v>120</v>
      </c>
      <c r="B69" s="424" t="s">
        <v>105</v>
      </c>
      <c r="C69" s="830">
        <v>750</v>
      </c>
      <c r="D69" s="829"/>
      <c r="E69" s="830">
        <v>750</v>
      </c>
      <c r="F69" s="829"/>
      <c r="G69" s="830">
        <v>750</v>
      </c>
      <c r="H69" s="829"/>
      <c r="I69" s="830">
        <v>750</v>
      </c>
      <c r="J69" s="829"/>
      <c r="K69" s="830">
        <v>750</v>
      </c>
      <c r="L69" s="829"/>
      <c r="M69" s="830">
        <v>750</v>
      </c>
      <c r="N69" s="829"/>
      <c r="O69" s="830">
        <v>750</v>
      </c>
      <c r="P69" s="829"/>
      <c r="Q69" s="830">
        <v>750</v>
      </c>
      <c r="R69" s="829"/>
      <c r="S69" s="830">
        <v>750</v>
      </c>
      <c r="T69" s="829"/>
      <c r="U69" s="830">
        <v>750</v>
      </c>
      <c r="V69" s="829"/>
      <c r="W69" s="830">
        <v>750</v>
      </c>
      <c r="X69" s="829"/>
      <c r="Y69" s="830">
        <v>750</v>
      </c>
      <c r="Z69" s="829"/>
      <c r="AA69" s="819">
        <v>750</v>
      </c>
      <c r="AB69" s="934"/>
      <c r="AC69" s="819">
        <v>750</v>
      </c>
      <c r="AD69" s="934"/>
      <c r="AE69" s="819">
        <v>750</v>
      </c>
      <c r="AF69" s="934"/>
      <c r="AG69" s="819">
        <v>750</v>
      </c>
      <c r="AH69" s="934"/>
      <c r="AI69" s="819">
        <v>750</v>
      </c>
      <c r="AJ69" s="934"/>
      <c r="AK69" s="819">
        <v>750</v>
      </c>
      <c r="AL69" s="934"/>
      <c r="AM69" s="819">
        <v>750</v>
      </c>
      <c r="AN69" s="934"/>
      <c r="AO69" s="819">
        <v>750</v>
      </c>
      <c r="AP69" s="934"/>
      <c r="AQ69" s="819">
        <v>750</v>
      </c>
      <c r="AR69" s="934"/>
      <c r="AS69" s="819">
        <v>750</v>
      </c>
      <c r="AT69" s="934"/>
    </row>
    <row r="70" spans="1:46" s="459" customFormat="1">
      <c r="A70" s="543" t="s">
        <v>132</v>
      </c>
      <c r="B70" s="544"/>
      <c r="C70" s="754"/>
      <c r="D70" s="829"/>
      <c r="E70" s="754"/>
      <c r="F70" s="829"/>
      <c r="G70" s="754"/>
      <c r="H70" s="829"/>
      <c r="I70" s="754"/>
      <c r="J70" s="829"/>
      <c r="K70" s="754"/>
      <c r="L70" s="829"/>
      <c r="M70" s="754"/>
      <c r="N70" s="829"/>
      <c r="O70" s="754"/>
      <c r="P70" s="829"/>
      <c r="Q70" s="754"/>
      <c r="R70" s="829"/>
      <c r="S70" s="754"/>
      <c r="T70" s="829"/>
      <c r="U70" s="754"/>
      <c r="V70" s="829"/>
      <c r="W70" s="754"/>
      <c r="X70" s="829"/>
      <c r="Y70" s="754"/>
      <c r="Z70" s="829"/>
      <c r="AA70" s="937"/>
      <c r="AB70" s="934"/>
      <c r="AC70" s="937"/>
      <c r="AD70" s="934"/>
      <c r="AE70" s="937"/>
      <c r="AF70" s="934"/>
      <c r="AG70" s="937"/>
      <c r="AH70" s="934"/>
      <c r="AI70" s="937"/>
      <c r="AJ70" s="934"/>
      <c r="AK70" s="937"/>
      <c r="AL70" s="934"/>
      <c r="AM70" s="937"/>
      <c r="AN70" s="934"/>
      <c r="AO70" s="937"/>
      <c r="AP70" s="934"/>
      <c r="AQ70" s="937"/>
      <c r="AR70" s="934"/>
      <c r="AS70" s="937"/>
      <c r="AT70" s="934"/>
    </row>
    <row r="71" spans="1:46" s="459" customFormat="1" ht="15">
      <c r="A71" s="1032" t="s">
        <v>39</v>
      </c>
      <c r="B71" s="1056"/>
      <c r="C71" s="754"/>
      <c r="D71" s="699"/>
      <c r="E71" s="754"/>
      <c r="F71" s="699"/>
      <c r="G71" s="754"/>
      <c r="H71" s="699"/>
      <c r="I71" s="754"/>
      <c r="J71" s="699"/>
      <c r="K71" s="754"/>
      <c r="L71" s="699"/>
      <c r="M71" s="754"/>
      <c r="N71" s="699"/>
      <c r="O71" s="754"/>
      <c r="P71" s="699"/>
      <c r="Q71" s="754"/>
      <c r="R71" s="699"/>
      <c r="S71" s="754"/>
      <c r="T71" s="699"/>
      <c r="U71" s="754"/>
      <c r="V71" s="699"/>
      <c r="W71" s="754"/>
      <c r="X71" s="699"/>
      <c r="Y71" s="754"/>
      <c r="Z71" s="699"/>
      <c r="AA71" s="937"/>
      <c r="AB71" s="938"/>
      <c r="AC71" s="937"/>
      <c r="AD71" s="938"/>
      <c r="AE71" s="937"/>
      <c r="AF71" s="938"/>
      <c r="AG71" s="937"/>
      <c r="AH71" s="938"/>
      <c r="AI71" s="937"/>
      <c r="AJ71" s="938"/>
      <c r="AK71" s="937"/>
      <c r="AL71" s="938"/>
      <c r="AM71" s="937"/>
      <c r="AN71" s="938"/>
      <c r="AO71" s="937"/>
      <c r="AP71" s="938"/>
      <c r="AQ71" s="937"/>
      <c r="AR71" s="938"/>
      <c r="AS71" s="937"/>
      <c r="AT71" s="938"/>
    </row>
    <row r="72" spans="1:46" ht="16.5" thickBot="1">
      <c r="A72" s="1020"/>
      <c r="B72" s="1048"/>
      <c r="C72" s="684">
        <f t="shared" ref="C72:H72" si="82">SUM(C40:C71)</f>
        <v>4545115.59</v>
      </c>
      <c r="D72" s="684">
        <f t="shared" si="82"/>
        <v>4.3299999999999992</v>
      </c>
      <c r="E72" s="684">
        <f t="shared" si="82"/>
        <v>4551109.5</v>
      </c>
      <c r="F72" s="684">
        <f t="shared" si="82"/>
        <v>4.339999999999999</v>
      </c>
      <c r="G72" s="684">
        <f t="shared" si="82"/>
        <v>4553107.4600000009</v>
      </c>
      <c r="H72" s="684">
        <f t="shared" si="82"/>
        <v>4.339999999999999</v>
      </c>
      <c r="I72" s="684">
        <f t="shared" ref="I72:K72" si="83">SUM(I40:I71)</f>
        <v>4558883.5400000019</v>
      </c>
      <c r="J72" s="684">
        <f t="shared" ref="J72:M72" si="84">SUM(J40:J71)</f>
        <v>4.339999999999999</v>
      </c>
      <c r="K72" s="684">
        <f t="shared" si="83"/>
        <v>4560116.99</v>
      </c>
      <c r="L72" s="684">
        <f t="shared" si="84"/>
        <v>4.3599999999999985</v>
      </c>
      <c r="M72" s="684">
        <f t="shared" si="84"/>
        <v>4538703.4300000006</v>
      </c>
      <c r="N72" s="684">
        <f t="shared" ref="N72:O72" si="85">SUM(N40:N71)</f>
        <v>4.339999999999999</v>
      </c>
      <c r="O72" s="684">
        <f t="shared" si="85"/>
        <v>4392700.97</v>
      </c>
      <c r="P72" s="684">
        <f t="shared" ref="P72:Q72" si="86">SUM(P40:P71)</f>
        <v>4.1899999999999986</v>
      </c>
      <c r="Q72" s="684">
        <f t="shared" si="86"/>
        <v>4394614.0999999987</v>
      </c>
      <c r="R72" s="684">
        <f t="shared" ref="R72:S72" si="87">SUM(R40:R71)</f>
        <v>4.1999999999999993</v>
      </c>
      <c r="S72" s="684">
        <f t="shared" si="87"/>
        <v>4397406.51</v>
      </c>
      <c r="T72" s="684">
        <f t="shared" ref="T72:U72" si="88">SUM(T40:T71)</f>
        <v>4.1999999999999993</v>
      </c>
      <c r="U72" s="684">
        <f t="shared" si="88"/>
        <v>4403598.72</v>
      </c>
      <c r="V72" s="684">
        <f t="shared" ref="V72:W72" si="89">SUM(V40:V71)</f>
        <v>4.1999999999999993</v>
      </c>
      <c r="W72" s="684">
        <f t="shared" si="89"/>
        <v>4406391.1499999994</v>
      </c>
      <c r="X72" s="684">
        <f t="shared" ref="X72:Y72" si="90">SUM(X40:X71)</f>
        <v>4.1899999999999995</v>
      </c>
      <c r="Y72" s="684">
        <f t="shared" si="90"/>
        <v>4413907.66</v>
      </c>
      <c r="Z72" s="684">
        <f t="shared" ref="Z72:AA72" si="91">SUM(Z40:Z71)</f>
        <v>4.2099999999999991</v>
      </c>
      <c r="AA72" s="939">
        <f t="shared" si="91"/>
        <v>4440197.9600000009</v>
      </c>
      <c r="AB72" s="939">
        <f t="shared" ref="AB72:AC72" si="92">SUM(AB40:AB71)</f>
        <v>4.2399999999999993</v>
      </c>
      <c r="AC72" s="939">
        <f t="shared" si="92"/>
        <v>4537255.2999999989</v>
      </c>
      <c r="AD72" s="939">
        <f t="shared" ref="AD72:AE72" si="93">SUM(AD40:AD71)</f>
        <v>4.339999999999999</v>
      </c>
      <c r="AE72" s="939">
        <f t="shared" si="93"/>
        <v>4540054.2300000014</v>
      </c>
      <c r="AF72" s="939">
        <f t="shared" ref="AF72:AG72" si="94">SUM(AF40:AF71)</f>
        <v>4.3299999999999992</v>
      </c>
      <c r="AG72" s="939">
        <f t="shared" si="94"/>
        <v>4420050.3</v>
      </c>
      <c r="AH72" s="939">
        <f t="shared" ref="AH72:AI72" si="95">SUM(AH40:AH71)</f>
        <v>4.2099999999999991</v>
      </c>
      <c r="AI72" s="939">
        <f t="shared" si="95"/>
        <v>4428447.18</v>
      </c>
      <c r="AJ72" s="939">
        <f t="shared" ref="AJ72:AK72" si="96">SUM(AJ40:AJ71)</f>
        <v>4.2199999999999989</v>
      </c>
      <c r="AK72" s="939">
        <f t="shared" si="96"/>
        <v>4431246.17</v>
      </c>
      <c r="AL72" s="939">
        <f t="shared" ref="AL72:AM72" si="97">SUM(AL40:AL71)</f>
        <v>4.2099999999999991</v>
      </c>
      <c r="AM72" s="939">
        <f t="shared" si="97"/>
        <v>8190049.2500000009</v>
      </c>
      <c r="AN72" s="939">
        <f t="shared" ref="AN72:AO72" si="98">SUM(AN40:AN71)</f>
        <v>7.7899999999999991</v>
      </c>
      <c r="AO72" s="939">
        <f t="shared" si="98"/>
        <v>8192847.4200000009</v>
      </c>
      <c r="AP72" s="939">
        <f t="shared" ref="AP72:AR72" si="99">SUM(AP40:AP71)</f>
        <v>7.7999999999999989</v>
      </c>
      <c r="AQ72" s="939">
        <f t="shared" si="99"/>
        <v>8211504.3599999985</v>
      </c>
      <c r="AR72" s="939">
        <f t="shared" si="99"/>
        <v>7.8099999999999987</v>
      </c>
      <c r="AS72" s="939">
        <f t="shared" ref="AS72:AT72" si="100">SUM(AS40:AS71)</f>
        <v>8295360.8799999999</v>
      </c>
      <c r="AT72" s="939">
        <f t="shared" si="100"/>
        <v>7.8599999999999985</v>
      </c>
    </row>
    <row r="73" spans="1:46">
      <c r="B73" s="142" t="s">
        <v>59</v>
      </c>
      <c r="C73" s="627">
        <f t="shared" ref="C73:H73" si="101">C9+C15+C18</f>
        <v>66155970.579999998</v>
      </c>
      <c r="D73" s="627">
        <f t="shared" si="101"/>
        <v>63.18</v>
      </c>
      <c r="E73" s="627">
        <f t="shared" si="101"/>
        <v>66336299.900000006</v>
      </c>
      <c r="F73" s="627">
        <f t="shared" si="101"/>
        <v>63.23</v>
      </c>
      <c r="G73" s="627">
        <f t="shared" si="101"/>
        <v>66417519.649999991</v>
      </c>
      <c r="H73" s="627">
        <f t="shared" si="101"/>
        <v>63.26</v>
      </c>
      <c r="I73" s="627">
        <f t="shared" ref="I73:J73" si="102">I9+I15+I18</f>
        <v>66407136.759999998</v>
      </c>
      <c r="J73" s="627">
        <f t="shared" si="102"/>
        <v>63.59</v>
      </c>
      <c r="K73" s="627">
        <f t="shared" ref="K73:L73" si="103">K9+K15+K18</f>
        <v>66487584.240000002</v>
      </c>
      <c r="L73" s="627">
        <f t="shared" si="103"/>
        <v>63.610000000000007</v>
      </c>
      <c r="M73" s="627">
        <f t="shared" ref="M73:N73" si="104">M9+M15+M18</f>
        <v>66354949.509999998</v>
      </c>
      <c r="N73" s="627">
        <f t="shared" si="104"/>
        <v>63.57</v>
      </c>
      <c r="O73" s="627">
        <f t="shared" ref="O73:P73" si="105">O9+O15+O18</f>
        <v>66472238.659999996</v>
      </c>
      <c r="P73" s="627">
        <f t="shared" si="105"/>
        <v>63.61</v>
      </c>
      <c r="Q73" s="627">
        <f t="shared" ref="Q73:R73" si="106">Q9+Q15+Q18</f>
        <v>66446248.589999996</v>
      </c>
      <c r="R73" s="627">
        <f t="shared" si="106"/>
        <v>63.59</v>
      </c>
      <c r="S73" s="627">
        <f t="shared" ref="S73:T73" si="107">S9+S15+S18</f>
        <v>66695748.939999998</v>
      </c>
      <c r="T73" s="627">
        <f t="shared" si="107"/>
        <v>63.670000000000009</v>
      </c>
      <c r="U73" s="627">
        <f t="shared" ref="U73:V73" si="108">U9+U15+U18</f>
        <v>66723149.290000007</v>
      </c>
      <c r="V73" s="627">
        <f t="shared" si="108"/>
        <v>63.680000000000014</v>
      </c>
      <c r="W73" s="627">
        <f t="shared" ref="W73:X73" si="109">W9+W15+W18</f>
        <v>66750598.369999997</v>
      </c>
      <c r="X73" s="627">
        <f t="shared" si="109"/>
        <v>63.690000000000005</v>
      </c>
      <c r="Y73" s="627">
        <f t="shared" ref="Y73:Z73" si="110">Y9+Y15+Y18</f>
        <v>66697314.890000001</v>
      </c>
      <c r="Z73" s="627">
        <f t="shared" si="110"/>
        <v>63.660000000000004</v>
      </c>
      <c r="AA73" s="940">
        <f t="shared" ref="AA73:AB73" si="111">AA9+AA15+AA18</f>
        <v>66643692.260000005</v>
      </c>
      <c r="AB73" s="940">
        <f t="shared" si="111"/>
        <v>63.58</v>
      </c>
      <c r="AC73" s="940">
        <f t="shared" ref="AC73:AD73" si="112">AC9+AC15+AC18</f>
        <v>66598207.93</v>
      </c>
      <c r="AD73" s="940">
        <f t="shared" si="112"/>
        <v>63.500000000000007</v>
      </c>
      <c r="AE73" s="940">
        <f t="shared" ref="AE73:AF73" si="113">AE9+AE15+AE18</f>
        <v>66624101.030000001</v>
      </c>
      <c r="AF73" s="940">
        <f t="shared" si="113"/>
        <v>63.500000000000007</v>
      </c>
      <c r="AG73" s="940">
        <f t="shared" ref="AG73:AH73" si="114">AG9+AG15+AG18</f>
        <v>66658498.519999996</v>
      </c>
      <c r="AH73" s="940">
        <f t="shared" si="114"/>
        <v>63.490000000000009</v>
      </c>
      <c r="AI73" s="940">
        <f t="shared" ref="AI73:AJ73" si="115">AI9+AI15+AI18</f>
        <v>66710944.68</v>
      </c>
      <c r="AJ73" s="940">
        <f t="shared" si="115"/>
        <v>63.52</v>
      </c>
      <c r="AK73" s="940">
        <f t="shared" ref="AK73:AL73" si="116">AK9+AK15+AK18</f>
        <v>66811239.350000009</v>
      </c>
      <c r="AL73" s="940">
        <f t="shared" si="116"/>
        <v>63.550000000000004</v>
      </c>
      <c r="AM73" s="940">
        <f t="shared" ref="AM73:AN73" si="117">AM9+AM15+AM18</f>
        <v>62618911.620000005</v>
      </c>
      <c r="AN73" s="940">
        <f t="shared" si="117"/>
        <v>59.56</v>
      </c>
      <c r="AO73" s="940">
        <f t="shared" ref="AO73:AP73" si="118">AO9+AO15+AO18</f>
        <v>62472065.600000009</v>
      </c>
      <c r="AP73" s="940">
        <f t="shared" si="118"/>
        <v>59.499999999999993</v>
      </c>
      <c r="AQ73" s="940">
        <f t="shared" ref="AQ73:AR73" si="119">AQ9+AQ15+AQ18</f>
        <v>62702202.5</v>
      </c>
      <c r="AR73" s="940">
        <f t="shared" si="119"/>
        <v>59.57</v>
      </c>
      <c r="AS73" s="940">
        <f t="shared" ref="AS73:AT73" si="120">AS9+AS15+AS18</f>
        <v>62751908.290000007</v>
      </c>
      <c r="AT73" s="940">
        <f t="shared" si="120"/>
        <v>59.539999999999992</v>
      </c>
    </row>
    <row r="74" spans="1:46">
      <c r="A74" s="145"/>
      <c r="B74" s="145" t="s">
        <v>109</v>
      </c>
      <c r="C74" s="628">
        <f t="shared" ref="C74:H74" si="121">C37</f>
        <v>27021982.879999999</v>
      </c>
      <c r="D74" s="628">
        <f t="shared" si="121"/>
        <v>25.8</v>
      </c>
      <c r="E74" s="628">
        <f t="shared" si="121"/>
        <v>27021982.879999999</v>
      </c>
      <c r="F74" s="628">
        <f t="shared" si="121"/>
        <v>25.759999999999998</v>
      </c>
      <c r="G74" s="628">
        <f t="shared" si="121"/>
        <v>27021982.879999999</v>
      </c>
      <c r="H74" s="628">
        <f t="shared" si="121"/>
        <v>25.729999999999997</v>
      </c>
      <c r="I74" s="628">
        <f t="shared" ref="I74:J74" si="122">I37</f>
        <v>26460964.460000001</v>
      </c>
      <c r="J74" s="628">
        <f t="shared" si="122"/>
        <v>25.339999999999996</v>
      </c>
      <c r="K74" s="628">
        <f t="shared" ref="K74:L74" si="123">K37</f>
        <v>26474434.199999999</v>
      </c>
      <c r="L74" s="628">
        <f t="shared" si="123"/>
        <v>25.340000000000003</v>
      </c>
      <c r="M74" s="628">
        <f t="shared" ref="M74:N74" si="124">M37</f>
        <v>26498445.219999999</v>
      </c>
      <c r="N74" s="628">
        <f t="shared" si="124"/>
        <v>25.380000000000003</v>
      </c>
      <c r="O74" s="628">
        <f t="shared" ref="O74:P74" si="125">O37</f>
        <v>26655689.619999997</v>
      </c>
      <c r="P74" s="628">
        <f t="shared" si="125"/>
        <v>25.5</v>
      </c>
      <c r="Q74" s="628">
        <f t="shared" ref="Q74:R74" si="126">Q37</f>
        <v>26655689.620000001</v>
      </c>
      <c r="R74" s="628">
        <f t="shared" si="126"/>
        <v>25.510000000000005</v>
      </c>
      <c r="S74" s="628">
        <f t="shared" ref="S74:T74" si="127">S37</f>
        <v>26655689.620000001</v>
      </c>
      <c r="T74" s="628">
        <f t="shared" si="127"/>
        <v>25.44</v>
      </c>
      <c r="U74" s="628">
        <f t="shared" ref="U74:V74" si="128">U37</f>
        <v>26646785.530000001</v>
      </c>
      <c r="V74" s="628">
        <f t="shared" si="128"/>
        <v>25.43</v>
      </c>
      <c r="W74" s="628">
        <f t="shared" ref="W74:X74" si="129">W37</f>
        <v>26646785.530000001</v>
      </c>
      <c r="X74" s="628">
        <f t="shared" si="129"/>
        <v>25.43</v>
      </c>
      <c r="Y74" s="628">
        <f t="shared" ref="Y74:Z74" si="130">Y37</f>
        <v>26651900.990000002</v>
      </c>
      <c r="Z74" s="628">
        <f t="shared" si="130"/>
        <v>25.439999999999998</v>
      </c>
      <c r="AA74" s="941">
        <f t="shared" ref="AA74:AB74" si="131">AA37</f>
        <v>26722552.920000002</v>
      </c>
      <c r="AB74" s="941">
        <f t="shared" si="131"/>
        <v>25.489999999999995</v>
      </c>
      <c r="AC74" s="941">
        <f t="shared" ref="AC74:AD74" si="132">AC37</f>
        <v>26744654.920000002</v>
      </c>
      <c r="AD74" s="941">
        <f t="shared" si="132"/>
        <v>25.489999999999995</v>
      </c>
      <c r="AE74" s="941">
        <f t="shared" ref="AE74:AF74" si="133">AE37</f>
        <v>26752434.920000002</v>
      </c>
      <c r="AF74" s="941">
        <f t="shared" si="133"/>
        <v>25.499999999999996</v>
      </c>
      <c r="AG74" s="941">
        <f t="shared" ref="AG74:AH74" si="134">AG37</f>
        <v>26875854.920000002</v>
      </c>
      <c r="AH74" s="941">
        <f t="shared" si="134"/>
        <v>25.619999999999994</v>
      </c>
      <c r="AI74" s="941">
        <f t="shared" ref="AI74:AJ74" si="135">AI37</f>
        <v>26875854.920000002</v>
      </c>
      <c r="AJ74" s="941">
        <f t="shared" si="135"/>
        <v>25.59</v>
      </c>
      <c r="AK74" s="941">
        <f t="shared" ref="AK74:AL74" si="136">AK37</f>
        <v>26875854.920000002</v>
      </c>
      <c r="AL74" s="941">
        <f t="shared" si="136"/>
        <v>25.57</v>
      </c>
      <c r="AM74" s="941">
        <f t="shared" ref="AM74:AN74" si="137">AM37</f>
        <v>27316727.25</v>
      </c>
      <c r="AN74" s="941">
        <f t="shared" si="137"/>
        <v>25.989999999999995</v>
      </c>
      <c r="AO74" s="941">
        <f t="shared" ref="AO74:AP74" si="138">AO37</f>
        <v>27316727.25</v>
      </c>
      <c r="AP74" s="941">
        <f t="shared" si="138"/>
        <v>25.989999999999995</v>
      </c>
      <c r="AQ74" s="941">
        <f t="shared" ref="AQ74:AR74" si="139">AQ37</f>
        <v>27319867.629999999</v>
      </c>
      <c r="AR74" s="941">
        <f t="shared" si="139"/>
        <v>25.96</v>
      </c>
      <c r="AS74" s="941">
        <f t="shared" ref="AS74:AT74" si="140">AS37</f>
        <v>27319867.629999999</v>
      </c>
      <c r="AT74" s="941">
        <f t="shared" si="140"/>
        <v>25.96</v>
      </c>
    </row>
    <row r="75" spans="1:46">
      <c r="B75" s="145" t="s">
        <v>110</v>
      </c>
      <c r="C75" s="628">
        <f t="shared" ref="C75:H75" si="141">C22</f>
        <v>7005983.7000000002</v>
      </c>
      <c r="D75" s="628">
        <f t="shared" si="141"/>
        <v>6.69</v>
      </c>
      <c r="E75" s="628">
        <f t="shared" si="141"/>
        <v>7005983.7000000002</v>
      </c>
      <c r="F75" s="628">
        <f t="shared" si="141"/>
        <v>6.67</v>
      </c>
      <c r="G75" s="628">
        <f t="shared" si="141"/>
        <v>7005983.7000000002</v>
      </c>
      <c r="H75" s="628">
        <f t="shared" si="141"/>
        <v>6.67</v>
      </c>
      <c r="I75" s="628">
        <f t="shared" ref="I75:J75" si="142">I22</f>
        <v>7005983.7000000002</v>
      </c>
      <c r="J75" s="628">
        <f t="shared" si="142"/>
        <v>6.71</v>
      </c>
      <c r="K75" s="628">
        <f t="shared" ref="K75:L75" si="143">K22</f>
        <v>7005983.7000000002</v>
      </c>
      <c r="L75" s="628">
        <f t="shared" si="143"/>
        <v>6.7</v>
      </c>
      <c r="M75" s="628">
        <f t="shared" ref="M75:N75" si="144">M22</f>
        <v>7005983.7000000002</v>
      </c>
      <c r="N75" s="628">
        <f t="shared" si="144"/>
        <v>6.71</v>
      </c>
      <c r="O75" s="628">
        <f t="shared" ref="O75:P75" si="145">O22</f>
        <v>7005983.7000000002</v>
      </c>
      <c r="P75" s="628">
        <f t="shared" si="145"/>
        <v>6.7</v>
      </c>
      <c r="Q75" s="628">
        <f t="shared" ref="Q75:R75" si="146">Q22</f>
        <v>7005983.7000000002</v>
      </c>
      <c r="R75" s="628">
        <f t="shared" si="146"/>
        <v>6.71</v>
      </c>
      <c r="S75" s="628">
        <f t="shared" ref="S75:T75" si="147">S22</f>
        <v>7005983.7000000002</v>
      </c>
      <c r="T75" s="628">
        <f t="shared" si="147"/>
        <v>6.69</v>
      </c>
      <c r="U75" s="628">
        <f t="shared" ref="U75:V75" si="148">U22</f>
        <v>7005983.7000000002</v>
      </c>
      <c r="V75" s="628">
        <f t="shared" si="148"/>
        <v>6.69</v>
      </c>
      <c r="W75" s="628">
        <f t="shared" ref="W75:X75" si="149">W22</f>
        <v>7005983.7000000002</v>
      </c>
      <c r="X75" s="628">
        <f t="shared" si="149"/>
        <v>6.69</v>
      </c>
      <c r="Y75" s="628">
        <f t="shared" ref="Y75:Z75" si="150">Y22</f>
        <v>7005983.7000000002</v>
      </c>
      <c r="Z75" s="628">
        <f t="shared" si="150"/>
        <v>6.69</v>
      </c>
      <c r="AA75" s="941">
        <f t="shared" ref="AA75:AB75" si="151">AA22</f>
        <v>7005983.7000000002</v>
      </c>
      <c r="AB75" s="941">
        <f t="shared" si="151"/>
        <v>6.69</v>
      </c>
      <c r="AC75" s="941">
        <f t="shared" ref="AC75:AD75" si="152">AC22</f>
        <v>7005983.7000000002</v>
      </c>
      <c r="AD75" s="941">
        <f t="shared" si="152"/>
        <v>6.68</v>
      </c>
      <c r="AE75" s="941">
        <f t="shared" ref="AE75:AF75" si="153">AE22</f>
        <v>7005983.7000000002</v>
      </c>
      <c r="AF75" s="941">
        <f t="shared" si="153"/>
        <v>6.68</v>
      </c>
      <c r="AG75" s="941">
        <f t="shared" ref="AG75:AH75" si="154">AG22</f>
        <v>7005983.7000000002</v>
      </c>
      <c r="AH75" s="941">
        <f t="shared" si="154"/>
        <v>6.68</v>
      </c>
      <c r="AI75" s="941">
        <f t="shared" ref="AI75:AJ75" si="155">AI22</f>
        <v>7005983.7000000002</v>
      </c>
      <c r="AJ75" s="941">
        <f t="shared" si="155"/>
        <v>6.67</v>
      </c>
      <c r="AK75" s="941">
        <f t="shared" ref="AK75:AL75" si="156">AK22</f>
        <v>7005983.7000000002</v>
      </c>
      <c r="AL75" s="941">
        <f t="shared" si="156"/>
        <v>6.67</v>
      </c>
      <c r="AM75" s="941">
        <f t="shared" ref="AM75:AN75" si="157">AM22</f>
        <v>7005983.7000000002</v>
      </c>
      <c r="AN75" s="941">
        <f t="shared" si="157"/>
        <v>6.67</v>
      </c>
      <c r="AO75" s="941">
        <f t="shared" ref="AO75:AP75" si="158">AO22</f>
        <v>7005983.7000000002</v>
      </c>
      <c r="AP75" s="941">
        <f t="shared" si="158"/>
        <v>6.67</v>
      </c>
      <c r="AQ75" s="941">
        <f t="shared" ref="AQ75:AR75" si="159">AQ22</f>
        <v>7005983.7000000002</v>
      </c>
      <c r="AR75" s="941">
        <f t="shared" si="159"/>
        <v>6.66</v>
      </c>
      <c r="AS75" s="941">
        <f t="shared" ref="AS75:AT75" si="160">AS22</f>
        <v>7005983.7000000002</v>
      </c>
      <c r="AT75" s="941">
        <f t="shared" si="160"/>
        <v>6.65</v>
      </c>
    </row>
    <row r="76" spans="1:46">
      <c r="B76" s="145" t="s">
        <v>122</v>
      </c>
      <c r="C76" s="628"/>
      <c r="D76" s="628"/>
      <c r="E76" s="628"/>
      <c r="F76" s="628"/>
      <c r="G76" s="628"/>
      <c r="H76" s="628"/>
      <c r="I76" s="628"/>
      <c r="J76" s="628"/>
      <c r="K76" s="628"/>
      <c r="L76" s="628"/>
      <c r="M76" s="628"/>
      <c r="N76" s="628"/>
      <c r="O76" s="628"/>
      <c r="P76" s="628"/>
      <c r="Q76" s="628"/>
      <c r="R76" s="628"/>
      <c r="S76" s="628"/>
      <c r="T76" s="628"/>
      <c r="U76" s="628"/>
      <c r="V76" s="628"/>
      <c r="W76" s="628"/>
      <c r="X76" s="628"/>
      <c r="Y76" s="628"/>
      <c r="Z76" s="628"/>
      <c r="AA76" s="941"/>
      <c r="AB76" s="941"/>
      <c r="AC76" s="941"/>
      <c r="AD76" s="941"/>
      <c r="AE76" s="941"/>
      <c r="AF76" s="941"/>
      <c r="AG76" s="941"/>
      <c r="AH76" s="941"/>
      <c r="AI76" s="941"/>
      <c r="AJ76" s="941"/>
      <c r="AK76" s="941"/>
      <c r="AL76" s="941"/>
      <c r="AM76" s="941"/>
      <c r="AN76" s="941"/>
      <c r="AO76" s="941"/>
      <c r="AP76" s="941"/>
      <c r="AQ76" s="941"/>
      <c r="AR76" s="941"/>
      <c r="AS76" s="941"/>
      <c r="AT76" s="941"/>
    </row>
    <row r="77" spans="1:46" ht="16.5" thickBot="1">
      <c r="A77" s="1037"/>
      <c r="B77" s="1038"/>
      <c r="C77" s="629">
        <f t="shared" ref="C77:D77" si="161">C72</f>
        <v>4545115.59</v>
      </c>
      <c r="D77" s="629">
        <f t="shared" si="161"/>
        <v>4.3299999999999992</v>
      </c>
      <c r="E77" s="629">
        <f t="shared" ref="E77:F77" si="162">E72</f>
        <v>4551109.5</v>
      </c>
      <c r="F77" s="629">
        <f t="shared" si="162"/>
        <v>4.339999999999999</v>
      </c>
      <c r="G77" s="629">
        <f t="shared" ref="G77:H77" si="163">G72</f>
        <v>4553107.4600000009</v>
      </c>
      <c r="H77" s="629">
        <f t="shared" si="163"/>
        <v>4.339999999999999</v>
      </c>
      <c r="I77" s="629">
        <f t="shared" ref="I77:J77" si="164">I72</f>
        <v>4558883.5400000019</v>
      </c>
      <c r="J77" s="629">
        <f t="shared" si="164"/>
        <v>4.339999999999999</v>
      </c>
      <c r="K77" s="629">
        <f t="shared" ref="K77:L77" si="165">K72</f>
        <v>4560116.99</v>
      </c>
      <c r="L77" s="629">
        <f t="shared" si="165"/>
        <v>4.3599999999999985</v>
      </c>
      <c r="M77" s="629">
        <f t="shared" ref="M77:N77" si="166">M72</f>
        <v>4538703.4300000006</v>
      </c>
      <c r="N77" s="629">
        <f t="shared" si="166"/>
        <v>4.339999999999999</v>
      </c>
      <c r="O77" s="629">
        <f t="shared" ref="O77:P77" si="167">O72</f>
        <v>4392700.97</v>
      </c>
      <c r="P77" s="629">
        <f t="shared" si="167"/>
        <v>4.1899999999999986</v>
      </c>
      <c r="Q77" s="629">
        <f t="shared" ref="Q77:R77" si="168">Q72</f>
        <v>4394614.0999999987</v>
      </c>
      <c r="R77" s="629">
        <f t="shared" si="168"/>
        <v>4.1999999999999993</v>
      </c>
      <c r="S77" s="629">
        <f t="shared" ref="S77:T77" si="169">S72</f>
        <v>4397406.51</v>
      </c>
      <c r="T77" s="629">
        <f t="shared" si="169"/>
        <v>4.1999999999999993</v>
      </c>
      <c r="U77" s="629">
        <f t="shared" ref="U77:V77" si="170">U72</f>
        <v>4403598.72</v>
      </c>
      <c r="V77" s="629">
        <f t="shared" si="170"/>
        <v>4.1999999999999993</v>
      </c>
      <c r="W77" s="629">
        <f t="shared" ref="W77:X77" si="171">W72</f>
        <v>4406391.1499999994</v>
      </c>
      <c r="X77" s="629">
        <f t="shared" si="171"/>
        <v>4.1899999999999995</v>
      </c>
      <c r="Y77" s="629">
        <f t="shared" ref="Y77:Z77" si="172">Y72</f>
        <v>4413907.66</v>
      </c>
      <c r="Z77" s="629">
        <f t="shared" si="172"/>
        <v>4.2099999999999991</v>
      </c>
      <c r="AA77" s="942">
        <f t="shared" ref="AA77:AB77" si="173">AA72</f>
        <v>4440197.9600000009</v>
      </c>
      <c r="AB77" s="942">
        <f t="shared" si="173"/>
        <v>4.2399999999999993</v>
      </c>
      <c r="AC77" s="942">
        <f t="shared" ref="AC77:AD77" si="174">AC72</f>
        <v>4537255.2999999989</v>
      </c>
      <c r="AD77" s="942">
        <f t="shared" si="174"/>
        <v>4.339999999999999</v>
      </c>
      <c r="AE77" s="942">
        <f t="shared" ref="AE77:AF77" si="175">AE72</f>
        <v>4540054.2300000014</v>
      </c>
      <c r="AF77" s="942">
        <f t="shared" si="175"/>
        <v>4.3299999999999992</v>
      </c>
      <c r="AG77" s="942">
        <f t="shared" ref="AG77:AH77" si="176">AG72</f>
        <v>4420050.3</v>
      </c>
      <c r="AH77" s="942">
        <f t="shared" si="176"/>
        <v>4.2099999999999991</v>
      </c>
      <c r="AI77" s="942">
        <f t="shared" ref="AI77:AJ77" si="177">AI72</f>
        <v>4428447.18</v>
      </c>
      <c r="AJ77" s="942">
        <f t="shared" si="177"/>
        <v>4.2199999999999989</v>
      </c>
      <c r="AK77" s="942">
        <f t="shared" ref="AK77:AL77" si="178">AK72</f>
        <v>4431246.17</v>
      </c>
      <c r="AL77" s="942">
        <f t="shared" si="178"/>
        <v>4.2099999999999991</v>
      </c>
      <c r="AM77" s="942">
        <f t="shared" ref="AM77:AN77" si="179">AM72</f>
        <v>8190049.2500000009</v>
      </c>
      <c r="AN77" s="942">
        <f t="shared" si="179"/>
        <v>7.7899999999999991</v>
      </c>
      <c r="AO77" s="942">
        <f t="shared" ref="AO77:AP77" si="180">AO72</f>
        <v>8192847.4200000009</v>
      </c>
      <c r="AP77" s="942">
        <f t="shared" si="180"/>
        <v>7.7999999999999989</v>
      </c>
      <c r="AQ77" s="942">
        <f t="shared" ref="AQ77:AR77" si="181">AQ72</f>
        <v>8211504.3599999985</v>
      </c>
      <c r="AR77" s="942">
        <f t="shared" si="181"/>
        <v>7.8099999999999987</v>
      </c>
      <c r="AS77" s="942">
        <f t="shared" ref="AS77:AT77" si="182">AS72</f>
        <v>8295360.8799999999</v>
      </c>
      <c r="AT77" s="942">
        <f t="shared" si="182"/>
        <v>7.8599999999999985</v>
      </c>
    </row>
    <row r="78" spans="1:46" ht="16.5" thickBot="1">
      <c r="A78" s="151"/>
      <c r="B78" s="152" t="s">
        <v>111</v>
      </c>
      <c r="C78" s="416">
        <f t="shared" ref="C78:D78" si="183">SUM(C73:C77)</f>
        <v>104729052.75</v>
      </c>
      <c r="D78" s="416">
        <f t="shared" si="183"/>
        <v>100</v>
      </c>
      <c r="E78" s="416">
        <f t="shared" ref="E78:F78" si="184">SUM(E73:E77)</f>
        <v>104915375.98</v>
      </c>
      <c r="F78" s="416">
        <f t="shared" si="184"/>
        <v>100</v>
      </c>
      <c r="G78" s="416">
        <f t="shared" ref="G78:H78" si="185">SUM(G73:G77)</f>
        <v>104998593.69</v>
      </c>
      <c r="H78" s="416">
        <f t="shared" si="185"/>
        <v>100</v>
      </c>
      <c r="I78" s="416">
        <f t="shared" ref="I78:J78" si="186">SUM(I73:I77)</f>
        <v>104432968.46000001</v>
      </c>
      <c r="J78" s="416">
        <f t="shared" si="186"/>
        <v>99.98</v>
      </c>
      <c r="K78" s="416">
        <f t="shared" ref="K78:L78" si="187">SUM(K73:K77)</f>
        <v>104528119.13</v>
      </c>
      <c r="L78" s="416">
        <f t="shared" si="187"/>
        <v>100.01000000000002</v>
      </c>
      <c r="M78" s="416">
        <f t="shared" ref="M78:N78" si="188">SUM(M73:M77)</f>
        <v>104398081.86</v>
      </c>
      <c r="N78" s="416">
        <f t="shared" si="188"/>
        <v>100</v>
      </c>
      <c r="O78" s="416">
        <f t="shared" ref="O78:P78" si="189">SUM(O73:O77)</f>
        <v>104526612.95</v>
      </c>
      <c r="P78" s="416">
        <f t="shared" si="189"/>
        <v>100</v>
      </c>
      <c r="Q78" s="416">
        <f t="shared" ref="Q78:R78" si="190">SUM(Q73:Q77)</f>
        <v>104502536.00999999</v>
      </c>
      <c r="R78" s="416">
        <f t="shared" si="190"/>
        <v>100.01</v>
      </c>
      <c r="S78" s="416">
        <f t="shared" ref="S78:T78" si="191">SUM(S73:S77)</f>
        <v>104754828.77000001</v>
      </c>
      <c r="T78" s="416">
        <f t="shared" si="191"/>
        <v>100.00000000000001</v>
      </c>
      <c r="U78" s="416">
        <f t="shared" ref="U78:V78" si="192">SUM(U73:U77)</f>
        <v>104779517.24000001</v>
      </c>
      <c r="V78" s="416">
        <f t="shared" si="192"/>
        <v>100.00000000000001</v>
      </c>
      <c r="W78" s="416">
        <f t="shared" ref="W78:X78" si="193">SUM(W73:W77)</f>
        <v>104809758.75000001</v>
      </c>
      <c r="X78" s="416">
        <f t="shared" si="193"/>
        <v>100</v>
      </c>
      <c r="Y78" s="416">
        <f t="shared" ref="Y78:Z78" si="194">SUM(Y73:Y77)</f>
        <v>104769107.23999999</v>
      </c>
      <c r="Z78" s="416">
        <f t="shared" si="194"/>
        <v>99.999999999999986</v>
      </c>
      <c r="AA78" s="943">
        <f t="shared" ref="AA78:AB78" si="195">SUM(AA73:AA77)</f>
        <v>104812426.84</v>
      </c>
      <c r="AB78" s="943">
        <f t="shared" si="195"/>
        <v>99.999999999999986</v>
      </c>
      <c r="AC78" s="943">
        <f t="shared" ref="AC78:AD78" si="196">SUM(AC73:AC77)</f>
        <v>104886101.84999999</v>
      </c>
      <c r="AD78" s="943">
        <f t="shared" si="196"/>
        <v>100.01000000000002</v>
      </c>
      <c r="AE78" s="943">
        <f t="shared" ref="AE78:AF78" si="197">SUM(AE73:AE77)</f>
        <v>104922573.88000001</v>
      </c>
      <c r="AF78" s="943">
        <f t="shared" si="197"/>
        <v>100.01</v>
      </c>
      <c r="AG78" s="943">
        <f t="shared" ref="AG78:AH78" si="198">SUM(AG73:AG77)</f>
        <v>104960387.44</v>
      </c>
      <c r="AH78" s="943">
        <f t="shared" si="198"/>
        <v>99.999999999999986</v>
      </c>
      <c r="AI78" s="943">
        <f t="shared" ref="AI78:AJ78" si="199">SUM(AI73:AI77)</f>
        <v>105021230.47999999</v>
      </c>
      <c r="AJ78" s="943">
        <f t="shared" si="199"/>
        <v>100</v>
      </c>
      <c r="AK78" s="943">
        <f t="shared" ref="AK78:AL78" si="200">SUM(AK73:AK77)</f>
        <v>105124324.14000002</v>
      </c>
      <c r="AL78" s="943">
        <f t="shared" si="200"/>
        <v>100</v>
      </c>
      <c r="AM78" s="943">
        <f t="shared" ref="AM78:AN78" si="201">SUM(AM73:AM77)</f>
        <v>105131671.82000001</v>
      </c>
      <c r="AN78" s="943">
        <f t="shared" si="201"/>
        <v>100.00999999999999</v>
      </c>
      <c r="AO78" s="943">
        <f t="shared" ref="AO78:AP78" si="202">SUM(AO73:AO77)</f>
        <v>104987623.97000001</v>
      </c>
      <c r="AP78" s="943">
        <f t="shared" si="202"/>
        <v>99.95999999999998</v>
      </c>
      <c r="AQ78" s="943">
        <f t="shared" ref="AQ78:AR78" si="203">SUM(AQ73:AQ77)</f>
        <v>105239558.19</v>
      </c>
      <c r="AR78" s="943">
        <f t="shared" si="203"/>
        <v>100</v>
      </c>
      <c r="AS78" s="943">
        <f t="shared" ref="AS78:AT78" si="204">SUM(AS73:AS77)</f>
        <v>105373120.5</v>
      </c>
      <c r="AT78" s="943">
        <f t="shared" si="204"/>
        <v>100.01</v>
      </c>
    </row>
  </sheetData>
  <mergeCells count="37">
    <mergeCell ref="AS1:AT1"/>
    <mergeCell ref="AM1:AN1"/>
    <mergeCell ref="AI1:AJ1"/>
    <mergeCell ref="AK1:AL1"/>
    <mergeCell ref="AE1:AF1"/>
    <mergeCell ref="AG1:AH1"/>
    <mergeCell ref="AQ1:AR1"/>
    <mergeCell ref="AO1:AP1"/>
    <mergeCell ref="A18:B18"/>
    <mergeCell ref="A15:B15"/>
    <mergeCell ref="W1:X1"/>
    <mergeCell ref="C1:D1"/>
    <mergeCell ref="A9:B9"/>
    <mergeCell ref="A77:B77"/>
    <mergeCell ref="A54:B54"/>
    <mergeCell ref="A59:B59"/>
    <mergeCell ref="A64:B64"/>
    <mergeCell ref="A65:B65"/>
    <mergeCell ref="A68:B68"/>
    <mergeCell ref="A71:B71"/>
    <mergeCell ref="A72:B72"/>
    <mergeCell ref="A39:B39"/>
    <mergeCell ref="A38:B38"/>
    <mergeCell ref="K1:L1"/>
    <mergeCell ref="I1:J1"/>
    <mergeCell ref="AC1:AD1"/>
    <mergeCell ref="Q1:R1"/>
    <mergeCell ref="Y1:Z1"/>
    <mergeCell ref="G1:H1"/>
    <mergeCell ref="O1:P1"/>
    <mergeCell ref="AA1:AB1"/>
    <mergeCell ref="M1:N1"/>
    <mergeCell ref="A22:B22"/>
    <mergeCell ref="A37:B37"/>
    <mergeCell ref="E1:F1"/>
    <mergeCell ref="S1:T1"/>
    <mergeCell ref="U1:V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X78"/>
  <sheetViews>
    <sheetView topLeftCell="AP68" zoomScale="130" zoomScaleNormal="130" workbookViewId="0">
      <selection activeCell="AU68" sqref="AU1:AW1048576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4.42578125" style="294" customWidth="1"/>
    <col min="4" max="4" width="12.5703125" style="944" customWidth="1"/>
    <col min="5" max="5" width="24.42578125" style="294" customWidth="1"/>
    <col min="6" max="6" width="12.5703125" style="944" customWidth="1"/>
    <col min="7" max="7" width="24.42578125" style="294" customWidth="1"/>
    <col min="8" max="8" width="12.5703125" style="944" customWidth="1"/>
    <col min="9" max="9" width="24.42578125" style="294" customWidth="1"/>
    <col min="10" max="10" width="12.5703125" style="944" customWidth="1"/>
    <col min="11" max="11" width="24.42578125" style="294" customWidth="1"/>
    <col min="12" max="12" width="12.5703125" style="944" customWidth="1"/>
    <col min="13" max="13" width="24.42578125" style="294" customWidth="1"/>
    <col min="14" max="14" width="12.5703125" style="944" customWidth="1"/>
    <col min="15" max="15" width="27.85546875" style="294" customWidth="1"/>
    <col min="16" max="16" width="12.5703125" style="944" customWidth="1"/>
    <col min="17" max="17" width="27.85546875" style="294" customWidth="1"/>
    <col min="18" max="18" width="12.5703125" style="944" customWidth="1"/>
    <col min="19" max="19" width="27.85546875" style="294" customWidth="1"/>
    <col min="20" max="20" width="12.5703125" style="944" customWidth="1"/>
    <col min="21" max="21" width="27.85546875" style="294" customWidth="1"/>
    <col min="22" max="22" width="12.5703125" style="944" customWidth="1"/>
    <col min="23" max="23" width="27.85546875" style="294" customWidth="1"/>
    <col min="24" max="24" width="12.5703125" style="944" customWidth="1"/>
    <col min="25" max="25" width="27.85546875" style="294" customWidth="1"/>
    <col min="26" max="26" width="12.5703125" style="944" customWidth="1"/>
    <col min="27" max="27" width="27.85546875" style="294" customWidth="1"/>
    <col min="28" max="28" width="12.5703125" style="944" customWidth="1"/>
    <col min="29" max="29" width="27.85546875" style="294" customWidth="1"/>
    <col min="30" max="30" width="12.5703125" style="944" customWidth="1"/>
    <col min="31" max="31" width="27.85546875" style="294" customWidth="1"/>
    <col min="32" max="32" width="12.5703125" style="944" customWidth="1"/>
    <col min="33" max="33" width="27.85546875" style="294" customWidth="1"/>
    <col min="34" max="34" width="12.5703125" style="944" customWidth="1"/>
    <col min="35" max="35" width="27.85546875" style="294" customWidth="1"/>
    <col min="36" max="36" width="12.5703125" style="944" customWidth="1"/>
    <col min="37" max="37" width="27.85546875" style="294" customWidth="1"/>
    <col min="38" max="38" width="12.5703125" style="944" customWidth="1"/>
    <col min="39" max="39" width="27.85546875" style="294" customWidth="1"/>
    <col min="40" max="40" width="12.5703125" style="944" customWidth="1"/>
    <col min="41" max="41" width="27.85546875" style="294" customWidth="1"/>
    <col min="42" max="42" width="12.5703125" style="944" customWidth="1"/>
    <col min="43" max="43" width="27.85546875" style="294" customWidth="1"/>
    <col min="44" max="44" width="12.5703125" style="944" customWidth="1"/>
    <col min="45" max="45" width="27.85546875" style="294" customWidth="1"/>
    <col min="46" max="46" width="12.5703125" style="944" customWidth="1"/>
  </cols>
  <sheetData>
    <row r="1" spans="1:46">
      <c r="C1" s="1054">
        <v>1</v>
      </c>
      <c r="D1" s="1055"/>
      <c r="E1" s="1054">
        <v>2</v>
      </c>
      <c r="F1" s="1055"/>
      <c r="G1" s="1054">
        <v>3</v>
      </c>
      <c r="H1" s="1055"/>
      <c r="I1" s="1054">
        <v>4</v>
      </c>
      <c r="J1" s="1055"/>
      <c r="K1" s="1054">
        <v>5</v>
      </c>
      <c r="L1" s="1055"/>
      <c r="M1" s="1054">
        <v>8</v>
      </c>
      <c r="N1" s="1055"/>
      <c r="O1" s="1054">
        <v>9</v>
      </c>
      <c r="P1" s="1055"/>
      <c r="Q1" s="1054">
        <v>10</v>
      </c>
      <c r="R1" s="1055"/>
      <c r="S1" s="1054">
        <v>11</v>
      </c>
      <c r="T1" s="1055"/>
      <c r="U1" s="1054">
        <v>12</v>
      </c>
      <c r="V1" s="1055"/>
      <c r="W1" s="1054">
        <v>15</v>
      </c>
      <c r="X1" s="1055"/>
      <c r="Y1" s="1054">
        <v>16</v>
      </c>
      <c r="Z1" s="1055"/>
      <c r="AA1" s="1054">
        <v>17</v>
      </c>
      <c r="AB1" s="1055"/>
      <c r="AC1" s="1054">
        <v>18</v>
      </c>
      <c r="AD1" s="1055"/>
      <c r="AE1" s="1054">
        <v>19</v>
      </c>
      <c r="AF1" s="1055"/>
      <c r="AG1" s="1054">
        <v>22</v>
      </c>
      <c r="AH1" s="1055"/>
      <c r="AI1" s="1054">
        <v>23</v>
      </c>
      <c r="AJ1" s="1055"/>
      <c r="AK1" s="1054">
        <v>24</v>
      </c>
      <c r="AL1" s="1055"/>
      <c r="AM1" s="1054">
        <v>25</v>
      </c>
      <c r="AN1" s="1055"/>
      <c r="AO1" s="1054">
        <v>26</v>
      </c>
      <c r="AP1" s="1055"/>
      <c r="AQ1" s="1054">
        <v>29</v>
      </c>
      <c r="AR1" s="1055"/>
      <c r="AS1" s="1054">
        <v>30</v>
      </c>
      <c r="AT1" s="1055"/>
    </row>
    <row r="2" spans="1:46">
      <c r="A2" s="418" t="s">
        <v>129</v>
      </c>
      <c r="B2" s="58" t="s">
        <v>15</v>
      </c>
      <c r="C2" s="894">
        <v>6626472</v>
      </c>
      <c r="D2" s="895">
        <v>6.29</v>
      </c>
      <c r="E2" s="894">
        <v>6613466.2199999997</v>
      </c>
      <c r="F2" s="895">
        <v>6.29</v>
      </c>
      <c r="G2" s="894">
        <v>6628987.5</v>
      </c>
      <c r="H2" s="895">
        <v>6.32</v>
      </c>
      <c r="I2" s="894">
        <v>6631825.5</v>
      </c>
      <c r="J2" s="895">
        <v>6.33</v>
      </c>
      <c r="K2" s="894">
        <v>6634663.5</v>
      </c>
      <c r="L2" s="895">
        <v>6.33</v>
      </c>
      <c r="M2" s="891">
        <v>6634035.2699999996</v>
      </c>
      <c r="N2" s="892">
        <v>6.32</v>
      </c>
      <c r="O2" s="891">
        <v>6636775.8799999999</v>
      </c>
      <c r="P2" s="892">
        <v>6.32</v>
      </c>
      <c r="Q2" s="891">
        <v>6635194.3399999999</v>
      </c>
      <c r="R2" s="892">
        <v>6.32</v>
      </c>
      <c r="S2" s="894">
        <v>6627227.29</v>
      </c>
      <c r="T2" s="895">
        <v>6.31</v>
      </c>
      <c r="U2" s="894">
        <v>6640610.4000000004</v>
      </c>
      <c r="V2" s="895">
        <v>6.33</v>
      </c>
      <c r="W2" s="894">
        <v>6655368</v>
      </c>
      <c r="X2" s="895">
        <v>6.34</v>
      </c>
      <c r="Y2" s="894">
        <v>6675040.5</v>
      </c>
      <c r="Z2" s="895">
        <v>6.35</v>
      </c>
      <c r="AA2" s="891">
        <v>6656310.9900000002</v>
      </c>
      <c r="AB2" s="892">
        <v>6.33</v>
      </c>
      <c r="AC2" s="891">
        <v>6659050.9500000002</v>
      </c>
      <c r="AD2" s="892">
        <v>6.33</v>
      </c>
      <c r="AE2" s="894">
        <v>6683554.5</v>
      </c>
      <c r="AF2" s="895">
        <v>6.36</v>
      </c>
      <c r="AG2" s="894">
        <v>6692004</v>
      </c>
      <c r="AH2" s="895">
        <v>6.36</v>
      </c>
      <c r="AI2" s="894">
        <v>6674589</v>
      </c>
      <c r="AJ2" s="895">
        <v>6.35</v>
      </c>
      <c r="AK2" s="894">
        <v>6667171.5</v>
      </c>
      <c r="AL2" s="895">
        <v>6.34</v>
      </c>
      <c r="AM2" s="891">
        <v>6680102.46</v>
      </c>
      <c r="AN2" s="892">
        <v>6.35</v>
      </c>
      <c r="AO2" s="891">
        <v>6682778.5599999996</v>
      </c>
      <c r="AP2" s="892">
        <v>6.35</v>
      </c>
      <c r="AQ2" s="891">
        <v>6691875</v>
      </c>
      <c r="AR2" s="892">
        <v>6.36</v>
      </c>
      <c r="AS2" s="894">
        <v>6707548.5</v>
      </c>
      <c r="AT2" s="895">
        <v>6.36</v>
      </c>
    </row>
    <row r="3" spans="1:46">
      <c r="A3" s="418" t="s">
        <v>123</v>
      </c>
      <c r="B3" s="58" t="s">
        <v>15</v>
      </c>
      <c r="C3" s="896">
        <v>5090011.6399999997</v>
      </c>
      <c r="D3" s="895">
        <v>4.83</v>
      </c>
      <c r="E3" s="896">
        <v>5090196.9000000004</v>
      </c>
      <c r="F3" s="895">
        <v>4.84</v>
      </c>
      <c r="G3" s="896">
        <v>5120904.5599999996</v>
      </c>
      <c r="H3" s="895">
        <v>4.8899999999999997</v>
      </c>
      <c r="I3" s="896">
        <v>5092504.6100000003</v>
      </c>
      <c r="J3" s="895">
        <v>4.8600000000000003</v>
      </c>
      <c r="K3" s="893">
        <v>5094674.79</v>
      </c>
      <c r="L3" s="892">
        <v>4.8600000000000003</v>
      </c>
      <c r="M3" s="893">
        <v>5101232.1100000003</v>
      </c>
      <c r="N3" s="892">
        <v>4.8600000000000003</v>
      </c>
      <c r="O3" s="896">
        <v>5128182.5999999996</v>
      </c>
      <c r="P3" s="895">
        <v>4.8899999999999997</v>
      </c>
      <c r="Q3" s="893">
        <v>5105572.47</v>
      </c>
      <c r="R3" s="892">
        <v>4.87</v>
      </c>
      <c r="S3" s="896">
        <v>5132625.04</v>
      </c>
      <c r="T3" s="895">
        <v>4.8899999999999997</v>
      </c>
      <c r="U3" s="896">
        <v>5109912.3600000003</v>
      </c>
      <c r="V3" s="895">
        <v>4.87</v>
      </c>
      <c r="W3" s="893">
        <v>5116469.68</v>
      </c>
      <c r="X3" s="892">
        <v>4.87</v>
      </c>
      <c r="Y3" s="893">
        <v>5118592.5999999996</v>
      </c>
      <c r="Z3" s="892">
        <v>4.87</v>
      </c>
      <c r="AA3" s="893">
        <v>4734459.54</v>
      </c>
      <c r="AB3" s="892">
        <v>4.5</v>
      </c>
      <c r="AC3" s="893">
        <v>4738472.8600000003</v>
      </c>
      <c r="AD3" s="892">
        <v>4.5</v>
      </c>
      <c r="AE3" s="893">
        <v>4738469.08</v>
      </c>
      <c r="AF3" s="892">
        <v>4.51</v>
      </c>
      <c r="AG3" s="893">
        <v>4745688.04</v>
      </c>
      <c r="AH3" s="892">
        <v>4.51</v>
      </c>
      <c r="AI3" s="893">
        <v>4746582.2</v>
      </c>
      <c r="AJ3" s="892">
        <v>4.51</v>
      </c>
      <c r="AK3" s="893">
        <v>4769526.46</v>
      </c>
      <c r="AL3" s="892">
        <v>4.54</v>
      </c>
      <c r="AM3" s="893">
        <v>4752528.93</v>
      </c>
      <c r="AN3" s="892">
        <v>4.5199999999999996</v>
      </c>
      <c r="AO3" s="893">
        <v>4754557.33</v>
      </c>
      <c r="AP3" s="892">
        <v>4.5199999999999996</v>
      </c>
      <c r="AQ3" s="893">
        <v>4760642.05</v>
      </c>
      <c r="AR3" s="892">
        <v>4.5199999999999996</v>
      </c>
      <c r="AS3" s="893">
        <v>4760401.97</v>
      </c>
      <c r="AT3" s="892">
        <v>4.51</v>
      </c>
    </row>
    <row r="4" spans="1:46">
      <c r="A4" s="418" t="s">
        <v>115</v>
      </c>
      <c r="B4" s="58" t="s">
        <v>15</v>
      </c>
      <c r="C4" s="894">
        <v>9982512.8000000007</v>
      </c>
      <c r="D4" s="895">
        <v>9.4700000000000006</v>
      </c>
      <c r="E4" s="894">
        <v>9987638.25</v>
      </c>
      <c r="F4" s="895">
        <v>9.5</v>
      </c>
      <c r="G4" s="894">
        <v>9991459.0399999991</v>
      </c>
      <c r="H4" s="895">
        <v>9.5299999999999994</v>
      </c>
      <c r="I4" s="894">
        <v>9995186.6400000006</v>
      </c>
      <c r="J4" s="895">
        <v>9.5299999999999994</v>
      </c>
      <c r="K4" s="894">
        <v>9999007.4299999997</v>
      </c>
      <c r="L4" s="895">
        <v>9.5299999999999994</v>
      </c>
      <c r="M4" s="894">
        <v>10010283.42</v>
      </c>
      <c r="N4" s="895">
        <v>9.5399999999999991</v>
      </c>
      <c r="O4" s="894">
        <v>10012985.93</v>
      </c>
      <c r="P4" s="895">
        <v>9.5399999999999991</v>
      </c>
      <c r="Q4" s="894">
        <v>10016713.529999999</v>
      </c>
      <c r="R4" s="895">
        <v>9.5500000000000007</v>
      </c>
      <c r="S4" s="894">
        <v>10020534.32</v>
      </c>
      <c r="T4" s="895">
        <v>9.5500000000000007</v>
      </c>
      <c r="U4" s="894">
        <v>10024355.109999999</v>
      </c>
      <c r="V4" s="895">
        <v>9.5500000000000007</v>
      </c>
      <c r="W4" s="894">
        <v>10035724.289999999</v>
      </c>
      <c r="X4" s="895">
        <v>9.56</v>
      </c>
      <c r="Y4" s="894">
        <v>10043272.68</v>
      </c>
      <c r="Z4" s="895">
        <v>9.56</v>
      </c>
      <c r="AA4" s="894">
        <v>10046907.09</v>
      </c>
      <c r="AB4" s="895">
        <v>9.56</v>
      </c>
      <c r="AC4" s="894">
        <v>10050541.5</v>
      </c>
      <c r="AD4" s="895">
        <v>9.5500000000000007</v>
      </c>
      <c r="AE4" s="894">
        <v>10054269.1</v>
      </c>
      <c r="AF4" s="895">
        <v>9.56</v>
      </c>
      <c r="AG4" s="894">
        <v>10065172.33</v>
      </c>
      <c r="AH4" s="895">
        <v>9.56</v>
      </c>
      <c r="AI4" s="894">
        <v>10066011.039999999</v>
      </c>
      <c r="AJ4" s="895">
        <v>9.58</v>
      </c>
      <c r="AK4" s="894">
        <v>10069738.640000001</v>
      </c>
      <c r="AL4" s="895">
        <v>9.58</v>
      </c>
      <c r="AM4" s="894">
        <v>10073559.43</v>
      </c>
      <c r="AN4" s="895">
        <v>9.58</v>
      </c>
      <c r="AO4" s="894">
        <v>10077287.029999999</v>
      </c>
      <c r="AP4" s="895">
        <v>9.58</v>
      </c>
      <c r="AQ4" s="894">
        <v>10088563.02</v>
      </c>
      <c r="AR4" s="895">
        <v>9.58</v>
      </c>
      <c r="AS4" s="894">
        <v>10093968.039999999</v>
      </c>
      <c r="AT4" s="895">
        <v>9.57</v>
      </c>
    </row>
    <row r="5" spans="1:46">
      <c r="A5" s="418" t="s">
        <v>118</v>
      </c>
      <c r="B5" s="58" t="s">
        <v>15</v>
      </c>
      <c r="C5" s="896">
        <v>8010522</v>
      </c>
      <c r="D5" s="895">
        <v>7.6</v>
      </c>
      <c r="E5" s="896">
        <v>8014578</v>
      </c>
      <c r="F5" s="895">
        <v>7.62</v>
      </c>
      <c r="G5" s="896">
        <v>8017854</v>
      </c>
      <c r="H5" s="895">
        <v>7.65</v>
      </c>
      <c r="I5" s="896">
        <v>8021130</v>
      </c>
      <c r="J5" s="895">
        <v>7.65</v>
      </c>
      <c r="K5" s="896">
        <v>8024328</v>
      </c>
      <c r="L5" s="895">
        <v>7.65</v>
      </c>
      <c r="M5" s="896">
        <v>8034078</v>
      </c>
      <c r="N5" s="895">
        <v>7.66</v>
      </c>
      <c r="O5" s="896">
        <v>8032362</v>
      </c>
      <c r="P5" s="895">
        <v>7.66</v>
      </c>
      <c r="Q5" s="896">
        <v>8035638</v>
      </c>
      <c r="R5" s="895">
        <v>7.66</v>
      </c>
      <c r="S5" s="896">
        <v>8038914</v>
      </c>
      <c r="T5" s="895">
        <v>7.66</v>
      </c>
      <c r="U5" s="896">
        <v>8042268</v>
      </c>
      <c r="V5" s="895">
        <v>7.66</v>
      </c>
      <c r="W5" s="896">
        <v>8052096</v>
      </c>
      <c r="X5" s="895">
        <v>7.67</v>
      </c>
      <c r="Y5" s="896">
        <v>8067618</v>
      </c>
      <c r="Z5" s="895">
        <v>7.68</v>
      </c>
      <c r="AA5" s="896">
        <v>8070816</v>
      </c>
      <c r="AB5" s="895">
        <v>7.68</v>
      </c>
      <c r="AC5" s="896">
        <v>8119299.2400000002</v>
      </c>
      <c r="AD5" s="895">
        <v>7.72</v>
      </c>
      <c r="AE5" s="896">
        <v>8077212</v>
      </c>
      <c r="AF5" s="895">
        <v>7.68</v>
      </c>
      <c r="AG5" s="896">
        <v>8086884</v>
      </c>
      <c r="AH5" s="895">
        <v>7.68</v>
      </c>
      <c r="AI5" s="896">
        <v>8077446</v>
      </c>
      <c r="AJ5" s="895">
        <v>7.68</v>
      </c>
      <c r="AK5" s="896">
        <v>8080800</v>
      </c>
      <c r="AL5" s="895">
        <v>7.69</v>
      </c>
      <c r="AM5" s="896">
        <v>8084076</v>
      </c>
      <c r="AN5" s="895">
        <v>7.69</v>
      </c>
      <c r="AO5" s="896">
        <v>8087352</v>
      </c>
      <c r="AP5" s="895">
        <v>7.69</v>
      </c>
      <c r="AQ5" s="896">
        <v>8097258</v>
      </c>
      <c r="AR5" s="895">
        <v>7.69</v>
      </c>
      <c r="AS5" s="896">
        <v>8109504</v>
      </c>
      <c r="AT5" s="895">
        <v>7.69</v>
      </c>
    </row>
    <row r="6" spans="1:46">
      <c r="A6" s="477" t="s">
        <v>124</v>
      </c>
      <c r="B6" s="58" t="s">
        <v>15</v>
      </c>
      <c r="C6" s="896">
        <v>8207822.4400000004</v>
      </c>
      <c r="D6" s="895">
        <v>7.79</v>
      </c>
      <c r="E6" s="896">
        <v>8113399.8099999996</v>
      </c>
      <c r="F6" s="895">
        <v>7.71</v>
      </c>
      <c r="G6" s="896">
        <v>8195999.1399999997</v>
      </c>
      <c r="H6" s="895">
        <v>7.82</v>
      </c>
      <c r="I6" s="896">
        <v>8199589.9199999999</v>
      </c>
      <c r="J6" s="895">
        <v>7.82</v>
      </c>
      <c r="K6" s="896">
        <v>8203180.7000000002</v>
      </c>
      <c r="L6" s="895">
        <v>7.82</v>
      </c>
      <c r="M6" s="896">
        <v>8214040.6200000001</v>
      </c>
      <c r="N6" s="895">
        <v>7.83</v>
      </c>
      <c r="O6" s="896">
        <v>8220609.1200000001</v>
      </c>
      <c r="P6" s="895">
        <v>7.84</v>
      </c>
      <c r="Q6" s="896">
        <v>8224112.3200000003</v>
      </c>
      <c r="R6" s="895">
        <v>7.84</v>
      </c>
      <c r="S6" s="896">
        <v>8227615.5199999996</v>
      </c>
      <c r="T6" s="895">
        <v>7.84</v>
      </c>
      <c r="U6" s="896">
        <v>8231118.7199999997</v>
      </c>
      <c r="V6" s="895">
        <v>7.84</v>
      </c>
      <c r="W6" s="893">
        <v>8170471.3200000003</v>
      </c>
      <c r="X6" s="892">
        <v>7.78</v>
      </c>
      <c r="Y6" s="893">
        <v>8174140.0499999998</v>
      </c>
      <c r="Z6" s="892">
        <v>7.78</v>
      </c>
      <c r="AA6" s="896">
        <v>8276222.4199999999</v>
      </c>
      <c r="AB6" s="895">
        <v>7.87</v>
      </c>
      <c r="AC6" s="896">
        <v>8279725.6200000001</v>
      </c>
      <c r="AD6" s="895">
        <v>7.87</v>
      </c>
      <c r="AE6" s="896">
        <v>8283316.4000000004</v>
      </c>
      <c r="AF6" s="895">
        <v>7.88</v>
      </c>
      <c r="AG6" s="896">
        <v>8293826</v>
      </c>
      <c r="AH6" s="895">
        <v>7.88</v>
      </c>
      <c r="AI6" s="896">
        <v>8249335.3600000003</v>
      </c>
      <c r="AJ6" s="895">
        <v>7.85</v>
      </c>
      <c r="AK6" s="896">
        <v>8162506.7999999998</v>
      </c>
      <c r="AL6" s="895">
        <v>7.77</v>
      </c>
      <c r="AM6" s="896">
        <v>8256516.9199999999</v>
      </c>
      <c r="AN6" s="895">
        <v>7.85</v>
      </c>
      <c r="AO6" s="896">
        <v>8260107.7000000002</v>
      </c>
      <c r="AP6" s="895">
        <v>7.85</v>
      </c>
      <c r="AQ6" s="896">
        <v>8270967.6200000001</v>
      </c>
      <c r="AR6" s="895">
        <v>7.86</v>
      </c>
      <c r="AS6" s="896">
        <v>8293563.2599999998</v>
      </c>
      <c r="AT6" s="895">
        <v>7.87</v>
      </c>
    </row>
    <row r="7" spans="1:46">
      <c r="A7" s="418" t="s">
        <v>130</v>
      </c>
      <c r="B7" s="58" t="s">
        <v>15</v>
      </c>
      <c r="C7" s="896">
        <v>8441624</v>
      </c>
      <c r="D7" s="895">
        <v>8.01</v>
      </c>
      <c r="E7" s="896">
        <v>8425587</v>
      </c>
      <c r="F7" s="895">
        <v>8.01</v>
      </c>
      <c r="G7" s="896">
        <v>8429300</v>
      </c>
      <c r="H7" s="895">
        <v>8.0399999999999991</v>
      </c>
      <c r="I7" s="896">
        <v>8432934</v>
      </c>
      <c r="J7" s="895">
        <v>8.0399999999999991</v>
      </c>
      <c r="K7" s="896">
        <v>8436647</v>
      </c>
      <c r="L7" s="895">
        <v>8.0500000000000007</v>
      </c>
      <c r="M7" s="896">
        <v>8447707</v>
      </c>
      <c r="N7" s="895">
        <v>8.0500000000000007</v>
      </c>
      <c r="O7" s="896">
        <v>8457424</v>
      </c>
      <c r="P7" s="895">
        <v>8.06</v>
      </c>
      <c r="Q7" s="896">
        <v>8461058</v>
      </c>
      <c r="R7" s="895">
        <v>8.06</v>
      </c>
      <c r="S7" s="896">
        <v>8464613</v>
      </c>
      <c r="T7" s="895">
        <v>8.07</v>
      </c>
      <c r="U7" s="896">
        <v>8468168</v>
      </c>
      <c r="V7" s="895">
        <v>8.07</v>
      </c>
      <c r="W7" s="896">
        <v>8478991</v>
      </c>
      <c r="X7" s="895">
        <v>8.08</v>
      </c>
      <c r="Y7" s="896">
        <v>8510275</v>
      </c>
      <c r="Z7" s="895">
        <v>8.1</v>
      </c>
      <c r="AA7" s="896">
        <v>8513909</v>
      </c>
      <c r="AB7" s="895">
        <v>8.1</v>
      </c>
      <c r="AC7" s="896">
        <v>8517464</v>
      </c>
      <c r="AD7" s="895">
        <v>8.1</v>
      </c>
      <c r="AE7" s="896">
        <v>8521098</v>
      </c>
      <c r="AF7" s="895">
        <v>8.11</v>
      </c>
      <c r="AG7" s="896">
        <v>8531921</v>
      </c>
      <c r="AH7" s="895">
        <v>8.1</v>
      </c>
      <c r="AI7" s="896">
        <v>8485706</v>
      </c>
      <c r="AJ7" s="895">
        <v>8.07</v>
      </c>
      <c r="AK7" s="896">
        <v>8489340</v>
      </c>
      <c r="AL7" s="895">
        <v>8.08</v>
      </c>
      <c r="AM7" s="896">
        <v>8493053</v>
      </c>
      <c r="AN7" s="895">
        <v>8.07</v>
      </c>
      <c r="AO7" s="896">
        <v>8496687</v>
      </c>
      <c r="AP7" s="895">
        <v>8.08</v>
      </c>
      <c r="AQ7" s="896">
        <v>8507747</v>
      </c>
      <c r="AR7" s="895">
        <v>8.08</v>
      </c>
      <c r="AS7" s="896">
        <v>8530420</v>
      </c>
      <c r="AT7" s="895">
        <v>8.09</v>
      </c>
    </row>
    <row r="8" spans="1:46">
      <c r="A8" s="418" t="s">
        <v>119</v>
      </c>
      <c r="B8" s="58" t="s">
        <v>15</v>
      </c>
      <c r="C8" s="896">
        <v>5096371.5</v>
      </c>
      <c r="D8" s="895">
        <v>4.84</v>
      </c>
      <c r="E8" s="896">
        <v>5085432</v>
      </c>
      <c r="F8" s="895">
        <v>4.83</v>
      </c>
      <c r="G8" s="896">
        <v>5087610</v>
      </c>
      <c r="H8" s="895">
        <v>4.8499999999999996</v>
      </c>
      <c r="I8" s="896">
        <v>5089837.5</v>
      </c>
      <c r="J8" s="895">
        <v>4.8600000000000003</v>
      </c>
      <c r="K8" s="896">
        <v>5092065</v>
      </c>
      <c r="L8" s="895">
        <v>4.8600000000000003</v>
      </c>
      <c r="M8" s="896">
        <v>5098698</v>
      </c>
      <c r="N8" s="895">
        <v>4.8600000000000003</v>
      </c>
      <c r="O8" s="896">
        <v>5108103</v>
      </c>
      <c r="P8" s="895">
        <v>4.87</v>
      </c>
      <c r="Q8" s="896">
        <v>5110231.5</v>
      </c>
      <c r="R8" s="895">
        <v>4.87</v>
      </c>
      <c r="S8" s="896">
        <v>5112409.5</v>
      </c>
      <c r="T8" s="895">
        <v>4.87</v>
      </c>
      <c r="U8" s="896">
        <v>5114538</v>
      </c>
      <c r="V8" s="895">
        <v>4.87</v>
      </c>
      <c r="W8" s="896">
        <v>5121022.5</v>
      </c>
      <c r="X8" s="895">
        <v>4.88</v>
      </c>
      <c r="Y8" s="896">
        <v>5140080</v>
      </c>
      <c r="Z8" s="895">
        <v>4.8899999999999997</v>
      </c>
      <c r="AA8" s="896">
        <v>5142258</v>
      </c>
      <c r="AB8" s="895">
        <v>4.8899999999999997</v>
      </c>
      <c r="AC8" s="896">
        <v>5144386.5</v>
      </c>
      <c r="AD8" s="895">
        <v>4.8899999999999997</v>
      </c>
      <c r="AE8" s="893">
        <v>5058839.1100000003</v>
      </c>
      <c r="AF8" s="892">
        <v>4.8099999999999996</v>
      </c>
      <c r="AG8" s="896">
        <v>5153049</v>
      </c>
      <c r="AH8" s="895">
        <v>4.8899999999999997</v>
      </c>
      <c r="AI8" s="896">
        <v>5122854</v>
      </c>
      <c r="AJ8" s="895">
        <v>4.87</v>
      </c>
      <c r="AK8" s="896">
        <v>5125032</v>
      </c>
      <c r="AL8" s="895">
        <v>4.88</v>
      </c>
      <c r="AM8" s="896">
        <v>5127259.5</v>
      </c>
      <c r="AN8" s="895">
        <v>4.88</v>
      </c>
      <c r="AO8" s="896">
        <v>5129437.5</v>
      </c>
      <c r="AP8" s="895">
        <v>4.88</v>
      </c>
      <c r="AQ8" s="896">
        <v>5136070.5</v>
      </c>
      <c r="AR8" s="895">
        <v>4.88</v>
      </c>
      <c r="AS8" s="896">
        <v>5149633.5</v>
      </c>
      <c r="AT8" s="895">
        <v>4.88</v>
      </c>
    </row>
    <row r="9" spans="1:46" ht="16.5" thickBot="1">
      <c r="A9" s="1020" t="s">
        <v>113</v>
      </c>
      <c r="B9" s="1048"/>
      <c r="C9" s="62">
        <f t="shared" ref="C9:D9" si="0">SUM(C2:C8)</f>
        <v>51455336.380000003</v>
      </c>
      <c r="D9" s="897">
        <f t="shared" si="0"/>
        <v>48.83</v>
      </c>
      <c r="E9" s="62">
        <f t="shared" ref="E9:F9" si="1">SUM(E2:E8)</f>
        <v>51330298.18</v>
      </c>
      <c r="F9" s="897">
        <f t="shared" si="1"/>
        <v>48.8</v>
      </c>
      <c r="G9" s="62">
        <f t="shared" ref="G9:H9" si="2">SUM(G2:G8)</f>
        <v>51472114.239999995</v>
      </c>
      <c r="H9" s="897">
        <f t="shared" si="2"/>
        <v>49.1</v>
      </c>
      <c r="I9" s="62">
        <f t="shared" ref="I9:J9" si="3">SUM(I2:I8)</f>
        <v>51463008.170000002</v>
      </c>
      <c r="J9" s="897">
        <f t="shared" si="3"/>
        <v>49.089999999999996</v>
      </c>
      <c r="K9" s="62">
        <f t="shared" ref="K9:L9" si="4">SUM(K2:K8)</f>
        <v>51484566.420000002</v>
      </c>
      <c r="L9" s="897">
        <f t="shared" si="4"/>
        <v>49.099999999999994</v>
      </c>
      <c r="M9" s="62">
        <f t="shared" ref="M9:N9" si="5">SUM(M2:M8)</f>
        <v>51540074.419999994</v>
      </c>
      <c r="N9" s="897">
        <f t="shared" si="5"/>
        <v>49.120000000000005</v>
      </c>
      <c r="O9" s="62">
        <f t="shared" ref="O9:P9" si="6">SUM(O2:O8)</f>
        <v>51596442.530000001</v>
      </c>
      <c r="P9" s="897">
        <f t="shared" si="6"/>
        <v>49.18</v>
      </c>
      <c r="Q9" s="62">
        <f t="shared" ref="Q9:R9" si="7">SUM(Q2:Q8)</f>
        <v>51588520.159999996</v>
      </c>
      <c r="R9" s="897">
        <f t="shared" si="7"/>
        <v>49.17</v>
      </c>
      <c r="S9" s="62">
        <f t="shared" ref="S9:T9" si="8">SUM(S2:S8)</f>
        <v>51623938.670000002</v>
      </c>
      <c r="T9" s="897">
        <f t="shared" si="8"/>
        <v>49.19</v>
      </c>
      <c r="U9" s="62">
        <f t="shared" ref="U9:V9" si="9">SUM(U2:U8)</f>
        <v>51630970.590000004</v>
      </c>
      <c r="V9" s="897">
        <f t="shared" si="9"/>
        <v>49.19</v>
      </c>
      <c r="W9" s="62">
        <f t="shared" ref="W9:X9" si="10">SUM(W2:W8)</f>
        <v>51630142.789999999</v>
      </c>
      <c r="X9" s="897">
        <f t="shared" si="10"/>
        <v>49.180000000000007</v>
      </c>
      <c r="Y9" s="62">
        <f t="shared" ref="Y9:Z9" si="11">SUM(Y2:Y8)</f>
        <v>51729018.829999998</v>
      </c>
      <c r="Z9" s="897">
        <f t="shared" si="11"/>
        <v>49.230000000000004</v>
      </c>
      <c r="AA9" s="62">
        <f t="shared" ref="AA9:AB9" si="12">SUM(AA2:AA8)</f>
        <v>51440883.039999999</v>
      </c>
      <c r="AB9" s="897">
        <f t="shared" si="12"/>
        <v>48.93</v>
      </c>
      <c r="AC9" s="62">
        <f t="shared" ref="AC9:AD9" si="13">SUM(AC2:AC8)</f>
        <v>51508940.670000002</v>
      </c>
      <c r="AD9" s="897">
        <f t="shared" si="13"/>
        <v>48.96</v>
      </c>
      <c r="AE9" s="62">
        <f t="shared" ref="AE9:AF9" si="14">SUM(AE2:AE8)</f>
        <v>51416758.189999998</v>
      </c>
      <c r="AF9" s="897">
        <f t="shared" si="14"/>
        <v>48.910000000000004</v>
      </c>
      <c r="AG9" s="62">
        <f t="shared" ref="AG9:AH9" si="15">SUM(AG2:AG8)</f>
        <v>51568544.369999997</v>
      </c>
      <c r="AH9" s="897">
        <f t="shared" si="15"/>
        <v>48.980000000000004</v>
      </c>
      <c r="AI9" s="62">
        <f t="shared" ref="AI9:AJ9" si="16">SUM(AI2:AI8)</f>
        <v>51422523.600000001</v>
      </c>
      <c r="AJ9" s="897">
        <f t="shared" si="16"/>
        <v>48.91</v>
      </c>
      <c r="AK9" s="62">
        <f t="shared" ref="AK9:AL9" si="17">SUM(AK2:AK8)</f>
        <v>51364115.399999999</v>
      </c>
      <c r="AL9" s="897">
        <f t="shared" si="17"/>
        <v>48.88</v>
      </c>
      <c r="AM9" s="62">
        <f t="shared" ref="AM9:AN9" si="18">SUM(AM2:AM8)</f>
        <v>51467096.240000002</v>
      </c>
      <c r="AN9" s="897">
        <f t="shared" si="18"/>
        <v>48.940000000000005</v>
      </c>
      <c r="AO9" s="62">
        <f t="shared" ref="AO9:AP9" si="19">SUM(AO2:AO8)</f>
        <v>51488207.120000005</v>
      </c>
      <c r="AP9" s="897">
        <f t="shared" si="19"/>
        <v>48.95</v>
      </c>
      <c r="AQ9" s="62">
        <f t="shared" ref="AQ9:AR9" si="20">SUM(AQ2:AQ8)</f>
        <v>51553123.189999998</v>
      </c>
      <c r="AR9" s="897">
        <f t="shared" si="20"/>
        <v>48.970000000000006</v>
      </c>
      <c r="AS9" s="62">
        <f t="shared" ref="AS9:AT9" si="21">SUM(AS2:AS8)</f>
        <v>51645039.269999996</v>
      </c>
      <c r="AT9" s="897">
        <f t="shared" si="21"/>
        <v>48.970000000000006</v>
      </c>
    </row>
    <row r="10" spans="1:46" ht="15">
      <c r="A10" s="419" t="s">
        <v>25</v>
      </c>
      <c r="B10" s="422" t="s">
        <v>26</v>
      </c>
      <c r="C10" s="898"/>
      <c r="D10" s="899"/>
      <c r="E10" s="898"/>
      <c r="F10" s="899"/>
      <c r="G10" s="898"/>
      <c r="H10" s="899"/>
      <c r="I10" s="898"/>
      <c r="J10" s="899"/>
      <c r="K10" s="898"/>
      <c r="L10" s="899"/>
      <c r="M10" s="898"/>
      <c r="N10" s="899"/>
      <c r="O10" s="898"/>
      <c r="P10" s="899"/>
      <c r="Q10" s="898"/>
      <c r="R10" s="899"/>
      <c r="S10" s="898"/>
      <c r="T10" s="899"/>
      <c r="U10" s="898"/>
      <c r="V10" s="899"/>
      <c r="W10" s="898"/>
      <c r="X10" s="899"/>
      <c r="Y10" s="898"/>
      <c r="Z10" s="899"/>
      <c r="AA10" s="898"/>
      <c r="AB10" s="899"/>
      <c r="AC10" s="898"/>
      <c r="AD10" s="899"/>
      <c r="AE10" s="898"/>
      <c r="AF10" s="899"/>
      <c r="AG10" s="898"/>
      <c r="AH10" s="899"/>
      <c r="AI10" s="898"/>
      <c r="AJ10" s="899"/>
      <c r="AK10" s="898"/>
      <c r="AL10" s="899"/>
      <c r="AM10" s="898"/>
      <c r="AN10" s="899"/>
      <c r="AO10" s="898"/>
      <c r="AP10" s="899"/>
      <c r="AQ10" s="898"/>
      <c r="AR10" s="899"/>
      <c r="AS10" s="898"/>
      <c r="AT10" s="899"/>
    </row>
    <row r="11" spans="1:46" ht="15">
      <c r="A11" s="419" t="s">
        <v>116</v>
      </c>
      <c r="B11" s="422" t="s">
        <v>117</v>
      </c>
      <c r="C11" s="898">
        <v>2475053.66</v>
      </c>
      <c r="D11" s="899">
        <v>2.35</v>
      </c>
      <c r="E11" s="898">
        <v>2476182.91</v>
      </c>
      <c r="F11" s="899">
        <v>2.36</v>
      </c>
      <c r="G11" s="898">
        <v>2477312.64</v>
      </c>
      <c r="H11" s="899">
        <v>2.36</v>
      </c>
      <c r="I11" s="898">
        <v>2478442.6</v>
      </c>
      <c r="J11" s="899">
        <v>2.3699999999999997</v>
      </c>
      <c r="K11" s="898">
        <v>2479573.5299999998</v>
      </c>
      <c r="L11" s="899">
        <v>2.3699999999999997</v>
      </c>
      <c r="M11" s="898">
        <v>2482968.7000000002</v>
      </c>
      <c r="N11" s="899">
        <v>2.37</v>
      </c>
      <c r="O11" s="898">
        <v>2484101.54</v>
      </c>
      <c r="P11" s="899">
        <v>2.37</v>
      </c>
      <c r="Q11" s="898">
        <v>2485234.86</v>
      </c>
      <c r="R11" s="899">
        <v>2.37</v>
      </c>
      <c r="S11" s="898">
        <v>2486368.66</v>
      </c>
      <c r="T11" s="899">
        <v>2.37</v>
      </c>
      <c r="U11" s="898">
        <v>2487502.9300000002</v>
      </c>
      <c r="V11" s="899">
        <v>2.37</v>
      </c>
      <c r="W11" s="898">
        <v>2490908.8805999998</v>
      </c>
      <c r="X11" s="899">
        <v>2.37</v>
      </c>
      <c r="Y11" s="898">
        <v>2492045.31</v>
      </c>
      <c r="Z11" s="899">
        <v>2.37</v>
      </c>
      <c r="AA11" s="898">
        <v>2493182.2200000002</v>
      </c>
      <c r="AB11" s="899">
        <v>2.37</v>
      </c>
      <c r="AC11" s="898">
        <v>2494319.85</v>
      </c>
      <c r="AD11" s="899">
        <v>2.37</v>
      </c>
      <c r="AE11" s="898"/>
      <c r="AF11" s="899"/>
      <c r="AG11" s="898"/>
      <c r="AH11" s="899"/>
      <c r="AI11" s="898"/>
      <c r="AJ11" s="899"/>
      <c r="AK11" s="898"/>
      <c r="AL11" s="899"/>
      <c r="AM11" s="898">
        <v>494821.6</v>
      </c>
      <c r="AN11" s="899">
        <v>0.47</v>
      </c>
      <c r="AO11" s="898">
        <v>495045.83</v>
      </c>
      <c r="AP11" s="899">
        <v>0.47</v>
      </c>
      <c r="AQ11" s="898">
        <v>495719.18</v>
      </c>
      <c r="AR11" s="899">
        <v>0.47</v>
      </c>
      <c r="AS11" s="898">
        <v>495943.8</v>
      </c>
      <c r="AT11" s="899">
        <v>0.47</v>
      </c>
    </row>
    <row r="12" spans="1:46" ht="15">
      <c r="A12" s="497"/>
      <c r="B12" s="498"/>
      <c r="C12" s="898">
        <v>0</v>
      </c>
      <c r="D12" s="900">
        <v>0</v>
      </c>
      <c r="E12" s="898">
        <v>0</v>
      </c>
      <c r="F12" s="900">
        <v>0</v>
      </c>
      <c r="G12" s="898">
        <v>0</v>
      </c>
      <c r="H12" s="900">
        <v>0</v>
      </c>
      <c r="I12" s="898">
        <v>0</v>
      </c>
      <c r="J12" s="900">
        <v>0</v>
      </c>
      <c r="K12" s="898">
        <v>0</v>
      </c>
      <c r="L12" s="900">
        <v>0</v>
      </c>
      <c r="M12" s="898">
        <v>0</v>
      </c>
      <c r="N12" s="900">
        <v>0</v>
      </c>
      <c r="O12" s="898">
        <v>0</v>
      </c>
      <c r="P12" s="900">
        <v>0</v>
      </c>
      <c r="Q12" s="898">
        <v>0</v>
      </c>
      <c r="R12" s="900">
        <v>0</v>
      </c>
      <c r="S12" s="898">
        <v>0</v>
      </c>
      <c r="T12" s="900">
        <v>0</v>
      </c>
      <c r="U12" s="898">
        <v>0</v>
      </c>
      <c r="V12" s="900">
        <v>0</v>
      </c>
      <c r="W12" s="898">
        <v>0</v>
      </c>
      <c r="X12" s="900">
        <v>0</v>
      </c>
      <c r="Y12" s="898">
        <v>0</v>
      </c>
      <c r="Z12" s="900">
        <v>0</v>
      </c>
      <c r="AA12" s="898">
        <v>0</v>
      </c>
      <c r="AB12" s="900">
        <v>0</v>
      </c>
      <c r="AC12" s="898">
        <v>0</v>
      </c>
      <c r="AD12" s="900">
        <v>0</v>
      </c>
      <c r="AE12" s="898"/>
      <c r="AF12" s="899"/>
      <c r="AG12" s="898"/>
      <c r="AH12" s="899"/>
      <c r="AI12" s="898"/>
      <c r="AJ12" s="899"/>
      <c r="AK12" s="898"/>
      <c r="AL12" s="899"/>
      <c r="AM12" s="901">
        <v>2078700</v>
      </c>
      <c r="AN12" s="895">
        <v>1.98</v>
      </c>
      <c r="AO12" s="898">
        <v>2079584.6</v>
      </c>
      <c r="AP12" s="899">
        <v>1.98</v>
      </c>
      <c r="AQ12" s="898">
        <v>2082240.6</v>
      </c>
      <c r="AR12" s="899">
        <v>1.98</v>
      </c>
      <c r="AS12" s="898">
        <v>2083126.8</v>
      </c>
      <c r="AT12" s="899">
        <v>1.98</v>
      </c>
    </row>
    <row r="13" spans="1:46" ht="15">
      <c r="A13" s="420" t="s">
        <v>38</v>
      </c>
      <c r="B13" s="420" t="s">
        <v>39</v>
      </c>
      <c r="C13" s="898">
        <v>4093930</v>
      </c>
      <c r="D13" s="899">
        <v>3.89</v>
      </c>
      <c r="E13" s="898">
        <v>4095690.4</v>
      </c>
      <c r="F13" s="899">
        <v>3.89</v>
      </c>
      <c r="G13" s="898">
        <v>4097451.2</v>
      </c>
      <c r="H13" s="899">
        <v>3.91</v>
      </c>
      <c r="I13" s="898">
        <v>4099212.8</v>
      </c>
      <c r="J13" s="899">
        <v>3.91</v>
      </c>
      <c r="K13" s="898">
        <v>4100975.2</v>
      </c>
      <c r="L13" s="899">
        <v>3.91</v>
      </c>
      <c r="M13" s="898">
        <v>4106266.8</v>
      </c>
      <c r="N13" s="899">
        <v>3.91</v>
      </c>
      <c r="O13" s="898">
        <v>4108032</v>
      </c>
      <c r="P13" s="899">
        <v>3.91</v>
      </c>
      <c r="Q13" s="898">
        <v>4109798.4</v>
      </c>
      <c r="R13" s="899">
        <v>3.92</v>
      </c>
      <c r="S13" s="898">
        <v>4111565.2</v>
      </c>
      <c r="T13" s="899">
        <v>3.91</v>
      </c>
      <c r="U13" s="898">
        <v>4113332.8</v>
      </c>
      <c r="V13" s="899">
        <v>3.92</v>
      </c>
      <c r="W13" s="898">
        <v>4118640.4</v>
      </c>
      <c r="X13" s="899">
        <v>3.9299999999999997</v>
      </c>
      <c r="Y13" s="898">
        <v>4120411.2</v>
      </c>
      <c r="Z13" s="899">
        <v>3.92</v>
      </c>
      <c r="AA13" s="898">
        <v>4122182.4</v>
      </c>
      <c r="AB13" s="899">
        <v>3.92</v>
      </c>
      <c r="AC13" s="898">
        <v>4123954.8</v>
      </c>
      <c r="AD13" s="899">
        <v>3.92</v>
      </c>
      <c r="AE13" s="898">
        <v>4125728</v>
      </c>
      <c r="AF13" s="899">
        <v>3.9299999999999997</v>
      </c>
      <c r="AG13" s="898">
        <v>4131051.2</v>
      </c>
      <c r="AH13" s="899">
        <v>3.9299999999999997</v>
      </c>
      <c r="AI13" s="898">
        <v>4132827.6</v>
      </c>
      <c r="AJ13" s="899">
        <v>3.93</v>
      </c>
      <c r="AK13" s="898">
        <v>4134604.4</v>
      </c>
      <c r="AL13" s="899">
        <v>3.94</v>
      </c>
      <c r="AM13" s="898">
        <v>4136382</v>
      </c>
      <c r="AN13" s="899">
        <v>3.93</v>
      </c>
      <c r="AO13" s="898">
        <v>4138160</v>
      </c>
      <c r="AP13" s="899">
        <v>3.93</v>
      </c>
      <c r="AQ13" s="898">
        <v>4143499.6</v>
      </c>
      <c r="AR13" s="899">
        <v>3.94</v>
      </c>
      <c r="AS13" s="898">
        <v>4145281.2</v>
      </c>
      <c r="AT13" s="899">
        <v>3.93</v>
      </c>
    </row>
    <row r="14" spans="1:46" thickBot="1">
      <c r="A14" s="421" t="s">
        <v>98</v>
      </c>
      <c r="B14" s="421" t="s">
        <v>99</v>
      </c>
      <c r="C14" s="901">
        <v>3017328.3</v>
      </c>
      <c r="D14" s="895">
        <v>2.86</v>
      </c>
      <c r="E14" s="901">
        <v>3018665.4</v>
      </c>
      <c r="F14" s="895">
        <v>2.87</v>
      </c>
      <c r="G14" s="901">
        <v>3020003.1</v>
      </c>
      <c r="H14" s="895">
        <v>2.88</v>
      </c>
      <c r="I14" s="901">
        <v>3021341.4</v>
      </c>
      <c r="J14" s="895">
        <v>2.88</v>
      </c>
      <c r="K14" s="901">
        <v>3022680</v>
      </c>
      <c r="L14" s="895">
        <v>2.88</v>
      </c>
      <c r="M14" s="901">
        <v>3026700.3</v>
      </c>
      <c r="N14" s="895">
        <v>2.88</v>
      </c>
      <c r="O14" s="901">
        <v>3028041.6</v>
      </c>
      <c r="P14" s="895">
        <v>2.89</v>
      </c>
      <c r="Q14" s="901">
        <v>3029383.2</v>
      </c>
      <c r="R14" s="895">
        <v>2.89</v>
      </c>
      <c r="S14" s="901">
        <v>3030725.7</v>
      </c>
      <c r="T14" s="895">
        <v>2.89</v>
      </c>
      <c r="U14" s="901">
        <v>3032068.8</v>
      </c>
      <c r="V14" s="895">
        <v>2.89</v>
      </c>
      <c r="W14" s="901">
        <v>3036101.4</v>
      </c>
      <c r="X14" s="895">
        <v>2.89</v>
      </c>
      <c r="Y14" s="901">
        <v>3037446.9</v>
      </c>
      <c r="Z14" s="895">
        <v>2.89</v>
      </c>
      <c r="AA14" s="901">
        <v>3038792.7</v>
      </c>
      <c r="AB14" s="895">
        <v>2.89</v>
      </c>
      <c r="AC14" s="901">
        <v>3040139.4</v>
      </c>
      <c r="AD14" s="895">
        <v>2.89</v>
      </c>
      <c r="AE14" s="901">
        <v>3041486.7</v>
      </c>
      <c r="AF14" s="895">
        <v>2.89</v>
      </c>
      <c r="AG14" s="901">
        <v>3045531.6</v>
      </c>
      <c r="AH14" s="895">
        <v>2.89</v>
      </c>
      <c r="AI14" s="901">
        <v>3046881.3</v>
      </c>
      <c r="AJ14" s="895">
        <v>2.9</v>
      </c>
      <c r="AK14" s="901">
        <v>3048231.6</v>
      </c>
      <c r="AL14" s="895">
        <v>2.9</v>
      </c>
      <c r="AM14" s="898">
        <v>3049582.2</v>
      </c>
      <c r="AN14" s="899">
        <v>2.9</v>
      </c>
      <c r="AO14" s="901">
        <v>3050933.7</v>
      </c>
      <c r="AP14" s="895">
        <v>2.9</v>
      </c>
      <c r="AQ14" s="901">
        <v>3054991.5</v>
      </c>
      <c r="AR14" s="895">
        <v>2.9</v>
      </c>
      <c r="AS14" s="901">
        <v>3056345.1</v>
      </c>
      <c r="AT14" s="895">
        <v>2.9</v>
      </c>
    </row>
    <row r="15" spans="1:46" ht="16.5" thickBot="1">
      <c r="A15" s="1022" t="s">
        <v>114</v>
      </c>
      <c r="B15" s="1047"/>
      <c r="C15" s="902">
        <f t="shared" ref="C15:D15" si="22">SUM(C10:C14)</f>
        <v>9586311.9600000009</v>
      </c>
      <c r="D15" s="903">
        <f t="shared" si="22"/>
        <v>9.1</v>
      </c>
      <c r="E15" s="902">
        <f t="shared" ref="E15:F15" si="23">SUM(E10:E14)</f>
        <v>9590538.7100000009</v>
      </c>
      <c r="F15" s="903">
        <f t="shared" si="23"/>
        <v>9.120000000000001</v>
      </c>
      <c r="G15" s="902">
        <f t="shared" ref="G15:H15" si="24">SUM(G10:G14)</f>
        <v>9594766.9399999995</v>
      </c>
      <c r="H15" s="903">
        <f t="shared" si="24"/>
        <v>9.1499999999999986</v>
      </c>
      <c r="I15" s="902">
        <f t="shared" ref="I15:J15" si="25">SUM(I10:I14)</f>
        <v>9598996.8000000007</v>
      </c>
      <c r="J15" s="903">
        <f t="shared" si="25"/>
        <v>9.16</v>
      </c>
      <c r="K15" s="902">
        <f t="shared" ref="K15:L15" si="26">SUM(K10:K14)</f>
        <v>9603228.7300000004</v>
      </c>
      <c r="L15" s="903">
        <f t="shared" si="26"/>
        <v>9.16</v>
      </c>
      <c r="M15" s="902">
        <f t="shared" ref="M15:N15" si="27">SUM(M10:M14)</f>
        <v>9615935.8000000007</v>
      </c>
      <c r="N15" s="903">
        <f t="shared" si="27"/>
        <v>9.16</v>
      </c>
      <c r="O15" s="902">
        <f t="shared" ref="O15:P15" si="28">SUM(O10:O14)</f>
        <v>9620175.1400000006</v>
      </c>
      <c r="P15" s="903">
        <f t="shared" si="28"/>
        <v>9.17</v>
      </c>
      <c r="Q15" s="902">
        <f t="shared" ref="Q15:R15" si="29">SUM(Q10:Q14)</f>
        <v>9624416.4600000009</v>
      </c>
      <c r="R15" s="903">
        <f t="shared" si="29"/>
        <v>9.18</v>
      </c>
      <c r="S15" s="902">
        <f t="shared" ref="S15:T15" si="30">SUM(S10:S14)</f>
        <v>9628659.5600000005</v>
      </c>
      <c r="T15" s="903">
        <f t="shared" si="30"/>
        <v>9.17</v>
      </c>
      <c r="U15" s="902">
        <f t="shared" ref="U15:V15" si="31">SUM(U10:U14)</f>
        <v>9632904.5300000012</v>
      </c>
      <c r="V15" s="903">
        <f t="shared" si="31"/>
        <v>9.18</v>
      </c>
      <c r="W15" s="902">
        <f t="shared" ref="W15:X15" si="32">SUM(W10:W14)</f>
        <v>9645650.6806000005</v>
      </c>
      <c r="X15" s="903">
        <f t="shared" si="32"/>
        <v>9.19</v>
      </c>
      <c r="Y15" s="902">
        <f t="shared" ref="Y15:Z15" si="33">SUM(Y10:Y14)</f>
        <v>9649903.4100000001</v>
      </c>
      <c r="Z15" s="903">
        <f t="shared" si="33"/>
        <v>9.18</v>
      </c>
      <c r="AA15" s="902">
        <f t="shared" ref="AA15:AB15" si="34">SUM(AA10:AA14)</f>
        <v>9654157.3200000003</v>
      </c>
      <c r="AB15" s="903">
        <f t="shared" si="34"/>
        <v>9.18</v>
      </c>
      <c r="AC15" s="902">
        <f t="shared" ref="AC15:AD15" si="35">SUM(AC10:AC14)</f>
        <v>9658414.0500000007</v>
      </c>
      <c r="AD15" s="903">
        <f t="shared" si="35"/>
        <v>9.18</v>
      </c>
      <c r="AE15" s="902">
        <f t="shared" ref="AE15:AF15" si="36">SUM(AE10:AE14)</f>
        <v>7167214.7000000002</v>
      </c>
      <c r="AF15" s="903">
        <f t="shared" si="36"/>
        <v>6.82</v>
      </c>
      <c r="AG15" s="902">
        <f t="shared" ref="AG15:AH15" si="37">SUM(AG10:AG14)</f>
        <v>7176582.8000000007</v>
      </c>
      <c r="AH15" s="903">
        <f t="shared" si="37"/>
        <v>6.82</v>
      </c>
      <c r="AI15" s="902">
        <f t="shared" ref="AI15:AJ15" si="38">SUM(AI10:AI14)</f>
        <v>7179708.9000000004</v>
      </c>
      <c r="AJ15" s="903">
        <f t="shared" si="38"/>
        <v>6.83</v>
      </c>
      <c r="AK15" s="902">
        <f t="shared" ref="AK15:AL15" si="39">SUM(AK10:AK14)</f>
        <v>7182836</v>
      </c>
      <c r="AL15" s="903">
        <f t="shared" si="39"/>
        <v>6.84</v>
      </c>
      <c r="AM15" s="902">
        <f t="shared" ref="AM15:AN15" si="40">SUM(AM10:AM14)</f>
        <v>9759485.8000000007</v>
      </c>
      <c r="AN15" s="903">
        <f t="shared" si="40"/>
        <v>9.2800000000000011</v>
      </c>
      <c r="AO15" s="902">
        <f t="shared" ref="AO15:AP15" si="41">SUM(AO10:AO14)</f>
        <v>9763724.129999999</v>
      </c>
      <c r="AP15" s="903">
        <f t="shared" si="41"/>
        <v>9.2800000000000011</v>
      </c>
      <c r="AQ15" s="902">
        <f t="shared" ref="AQ15:AR15" si="42">SUM(AQ10:AQ14)</f>
        <v>9776450.8800000008</v>
      </c>
      <c r="AR15" s="903">
        <f t="shared" si="42"/>
        <v>9.2900000000000009</v>
      </c>
      <c r="AS15" s="902">
        <f t="shared" ref="AS15:AT15" si="43">SUM(AS10:AS14)</f>
        <v>9780696.9000000004</v>
      </c>
      <c r="AT15" s="903">
        <f t="shared" si="43"/>
        <v>9.2800000000000011</v>
      </c>
    </row>
    <row r="16" spans="1:46" ht="31.5">
      <c r="A16" s="77" t="s">
        <v>41</v>
      </c>
      <c r="B16" s="78" t="s">
        <v>42</v>
      </c>
      <c r="C16" s="904"/>
      <c r="D16" s="905"/>
      <c r="E16" s="904"/>
      <c r="F16" s="905"/>
      <c r="G16" s="904"/>
      <c r="H16" s="905"/>
      <c r="I16" s="904"/>
      <c r="J16" s="905"/>
      <c r="K16" s="904"/>
      <c r="L16" s="905"/>
      <c r="M16" s="904"/>
      <c r="N16" s="905"/>
      <c r="O16" s="904"/>
      <c r="P16" s="905"/>
      <c r="Q16" s="904"/>
      <c r="R16" s="905"/>
      <c r="S16" s="904"/>
      <c r="T16" s="905"/>
      <c r="U16" s="904"/>
      <c r="V16" s="905"/>
      <c r="W16" s="904"/>
      <c r="X16" s="905"/>
      <c r="Y16" s="904"/>
      <c r="Z16" s="905"/>
      <c r="AA16" s="904"/>
      <c r="AB16" s="905"/>
      <c r="AC16" s="904"/>
      <c r="AD16" s="905"/>
      <c r="AE16" s="904"/>
      <c r="AF16" s="905"/>
      <c r="AG16" s="904"/>
      <c r="AH16" s="905"/>
      <c r="AI16" s="904"/>
      <c r="AJ16" s="905"/>
      <c r="AK16" s="904"/>
      <c r="AL16" s="905"/>
      <c r="AM16" s="904"/>
      <c r="AN16" s="905"/>
      <c r="AO16" s="904"/>
      <c r="AP16" s="905"/>
      <c r="AQ16" s="904"/>
      <c r="AR16" s="905"/>
      <c r="AS16" s="904"/>
      <c r="AT16" s="905"/>
    </row>
    <row r="17" spans="1:46" ht="16.5" thickBot="1">
      <c r="A17" s="460">
        <v>22048622</v>
      </c>
      <c r="B17" s="461" t="s">
        <v>121</v>
      </c>
      <c r="C17" s="906">
        <v>1706400</v>
      </c>
      <c r="D17" s="905">
        <v>1.62</v>
      </c>
      <c r="E17" s="906">
        <v>1706400</v>
      </c>
      <c r="F17" s="905">
        <v>1.64</v>
      </c>
      <c r="G17" s="906">
        <v>1706400</v>
      </c>
      <c r="H17" s="905">
        <v>1.64</v>
      </c>
      <c r="I17" s="906">
        <v>1706400</v>
      </c>
      <c r="J17" s="905">
        <v>1.64</v>
      </c>
      <c r="K17" s="906">
        <v>1706400</v>
      </c>
      <c r="L17" s="905">
        <v>1.63</v>
      </c>
      <c r="M17" s="906">
        <v>1706400</v>
      </c>
      <c r="N17" s="905">
        <v>1.63</v>
      </c>
      <c r="O17" s="906">
        <v>1706400</v>
      </c>
      <c r="P17" s="905">
        <v>1.63</v>
      </c>
      <c r="Q17" s="906">
        <v>1706400</v>
      </c>
      <c r="R17" s="905">
        <v>1.63</v>
      </c>
      <c r="S17" s="906">
        <v>1706400</v>
      </c>
      <c r="T17" s="905">
        <v>1.62</v>
      </c>
      <c r="U17" s="906">
        <v>1706400</v>
      </c>
      <c r="V17" s="905">
        <v>1.62</v>
      </c>
      <c r="W17" s="906">
        <v>1706400</v>
      </c>
      <c r="X17" s="905">
        <v>1.62</v>
      </c>
      <c r="Y17" s="906">
        <v>1706400</v>
      </c>
      <c r="Z17" s="905">
        <v>1.62</v>
      </c>
      <c r="AA17" s="906">
        <v>1706400</v>
      </c>
      <c r="AB17" s="905">
        <v>1.62</v>
      </c>
      <c r="AC17" s="906">
        <v>1706400</v>
      </c>
      <c r="AD17" s="905">
        <v>1.62</v>
      </c>
      <c r="AE17" s="906">
        <v>1706400</v>
      </c>
      <c r="AF17" s="905">
        <v>1.63</v>
      </c>
      <c r="AG17" s="906">
        <v>1706400</v>
      </c>
      <c r="AH17" s="905">
        <v>1.62</v>
      </c>
      <c r="AI17" s="906">
        <v>1706400</v>
      </c>
      <c r="AJ17" s="905">
        <v>1.62</v>
      </c>
      <c r="AK17" s="906">
        <v>1706400</v>
      </c>
      <c r="AL17" s="905">
        <v>1.62</v>
      </c>
      <c r="AM17" s="906">
        <v>1706400</v>
      </c>
      <c r="AN17" s="905">
        <v>1.62</v>
      </c>
      <c r="AO17" s="906">
        <v>1706400</v>
      </c>
      <c r="AP17" s="905">
        <v>1.62</v>
      </c>
      <c r="AQ17" s="906">
        <v>1706400</v>
      </c>
      <c r="AR17" s="905">
        <v>1.62</v>
      </c>
      <c r="AS17" s="906">
        <v>1706400</v>
      </c>
      <c r="AT17" s="905">
        <v>1.62</v>
      </c>
    </row>
    <row r="18" spans="1:46" ht="16.5" thickBot="1">
      <c r="A18" s="1039" t="s">
        <v>112</v>
      </c>
      <c r="B18" s="1039"/>
      <c r="C18" s="95">
        <f>SUM(C16:C17)</f>
        <v>1706400</v>
      </c>
      <c r="D18" s="907">
        <v>1.61</v>
      </c>
      <c r="E18" s="95">
        <f>SUM(E16:E17)</f>
        <v>1706400</v>
      </c>
      <c r="F18" s="907">
        <f>F17</f>
        <v>1.64</v>
      </c>
      <c r="G18" s="95">
        <f>SUM(G16:G17)</f>
        <v>1706400</v>
      </c>
      <c r="H18" s="907">
        <f>H17</f>
        <v>1.64</v>
      </c>
      <c r="I18" s="95">
        <f>SUM(I16:I17)</f>
        <v>1706400</v>
      </c>
      <c r="J18" s="907">
        <f>J17</f>
        <v>1.64</v>
      </c>
      <c r="K18" s="95">
        <f>SUM(K16:K17)</f>
        <v>1706400</v>
      </c>
      <c r="L18" s="907">
        <f>L17</f>
        <v>1.63</v>
      </c>
      <c r="M18" s="95">
        <f>SUM(M16:M17)</f>
        <v>1706400</v>
      </c>
      <c r="N18" s="907">
        <f>N17</f>
        <v>1.63</v>
      </c>
      <c r="O18" s="95">
        <f>SUM(O16:O17)</f>
        <v>1706400</v>
      </c>
      <c r="P18" s="907">
        <f>P17</f>
        <v>1.63</v>
      </c>
      <c r="Q18" s="95">
        <f>SUM(Q16:Q17)</f>
        <v>1706400</v>
      </c>
      <c r="R18" s="907">
        <f>R17</f>
        <v>1.63</v>
      </c>
      <c r="S18" s="95">
        <f>SUM(S16:S17)</f>
        <v>1706400</v>
      </c>
      <c r="T18" s="907">
        <f>T17</f>
        <v>1.62</v>
      </c>
      <c r="U18" s="95">
        <f>SUM(U16:U17)</f>
        <v>1706400</v>
      </c>
      <c r="V18" s="907">
        <f>V17</f>
        <v>1.62</v>
      </c>
      <c r="W18" s="95">
        <f>SUM(W16:W17)</f>
        <v>1706400</v>
      </c>
      <c r="X18" s="907">
        <f>X17</f>
        <v>1.62</v>
      </c>
      <c r="Y18" s="95">
        <f>SUM(Y16:Y17)</f>
        <v>1706400</v>
      </c>
      <c r="Z18" s="907">
        <f>Z17</f>
        <v>1.62</v>
      </c>
      <c r="AA18" s="95">
        <f>SUM(AA16:AA17)</f>
        <v>1706400</v>
      </c>
      <c r="AB18" s="907">
        <f>AB17</f>
        <v>1.62</v>
      </c>
      <c r="AC18" s="95">
        <f>SUM(AC16:AC17)</f>
        <v>1706400</v>
      </c>
      <c r="AD18" s="907">
        <f>AD17</f>
        <v>1.62</v>
      </c>
      <c r="AE18" s="95">
        <f>SUM(AE16:AE17)</f>
        <v>1706400</v>
      </c>
      <c r="AF18" s="907">
        <f>AF17</f>
        <v>1.63</v>
      </c>
      <c r="AG18" s="95">
        <f>SUM(AG16:AG17)</f>
        <v>1706400</v>
      </c>
      <c r="AH18" s="907">
        <f>AH17</f>
        <v>1.62</v>
      </c>
      <c r="AI18" s="95">
        <f>SUM(AI16:AI17)</f>
        <v>1706400</v>
      </c>
      <c r="AJ18" s="907">
        <f>AJ17</f>
        <v>1.62</v>
      </c>
      <c r="AK18" s="95">
        <f>SUM(AK16:AK17)</f>
        <v>1706400</v>
      </c>
      <c r="AL18" s="907">
        <f>AL17</f>
        <v>1.62</v>
      </c>
      <c r="AM18" s="95">
        <f>SUM(AM16:AM17)</f>
        <v>1706400</v>
      </c>
      <c r="AN18" s="907">
        <f>AN17</f>
        <v>1.62</v>
      </c>
      <c r="AO18" s="95">
        <f>SUM(AO16:AO17)</f>
        <v>1706400</v>
      </c>
      <c r="AP18" s="907">
        <f>AP17</f>
        <v>1.62</v>
      </c>
      <c r="AQ18" s="95">
        <f>SUM(AQ16:AQ17)</f>
        <v>1706400</v>
      </c>
      <c r="AR18" s="907">
        <f>AR17</f>
        <v>1.62</v>
      </c>
      <c r="AS18" s="95">
        <f>SUM(AS16:AS17)</f>
        <v>1706400</v>
      </c>
      <c r="AT18" s="907">
        <f>AT17</f>
        <v>1.62</v>
      </c>
    </row>
    <row r="19" spans="1:46">
      <c r="A19" s="447" t="s">
        <v>106</v>
      </c>
      <c r="B19" s="446"/>
      <c r="C19" s="908">
        <v>550495</v>
      </c>
      <c r="D19" s="909">
        <v>0.52</v>
      </c>
      <c r="E19" s="908">
        <v>550495</v>
      </c>
      <c r="F19" s="909">
        <v>0.52</v>
      </c>
      <c r="G19" s="908">
        <v>550495</v>
      </c>
      <c r="H19" s="909">
        <v>0.53</v>
      </c>
      <c r="I19" s="908">
        <v>550495</v>
      </c>
      <c r="J19" s="909">
        <v>0.53</v>
      </c>
      <c r="K19" s="908">
        <v>550495</v>
      </c>
      <c r="L19" s="909">
        <v>0.53</v>
      </c>
      <c r="M19" s="908">
        <v>550495</v>
      </c>
      <c r="N19" s="909">
        <v>0.53</v>
      </c>
      <c r="O19" s="908">
        <v>550495</v>
      </c>
      <c r="P19" s="909">
        <v>0.53</v>
      </c>
      <c r="Q19" s="908">
        <v>550495</v>
      </c>
      <c r="R19" s="909">
        <v>0.53</v>
      </c>
      <c r="S19" s="908">
        <v>550495</v>
      </c>
      <c r="T19" s="909">
        <v>0.53</v>
      </c>
      <c r="U19" s="908">
        <v>550495</v>
      </c>
      <c r="V19" s="909">
        <v>0.52</v>
      </c>
      <c r="W19" s="908">
        <v>550495</v>
      </c>
      <c r="X19" s="909">
        <v>0.52</v>
      </c>
      <c r="Y19" s="908">
        <v>550495</v>
      </c>
      <c r="Z19" s="909">
        <v>0.52</v>
      </c>
      <c r="AA19" s="908">
        <v>550495</v>
      </c>
      <c r="AB19" s="909">
        <v>0.52</v>
      </c>
      <c r="AC19" s="908">
        <v>550495</v>
      </c>
      <c r="AD19" s="909">
        <v>0.52</v>
      </c>
      <c r="AE19" s="908">
        <v>550495</v>
      </c>
      <c r="AF19" s="909">
        <v>0.52</v>
      </c>
      <c r="AG19" s="908">
        <v>550495</v>
      </c>
      <c r="AH19" s="909">
        <v>0.52</v>
      </c>
      <c r="AI19" s="908">
        <v>550495</v>
      </c>
      <c r="AJ19" s="909">
        <v>0.53</v>
      </c>
      <c r="AK19" s="908">
        <v>550495</v>
      </c>
      <c r="AL19" s="909">
        <v>0.53</v>
      </c>
      <c r="AM19" s="908">
        <v>550495</v>
      </c>
      <c r="AN19" s="909">
        <v>0.52</v>
      </c>
      <c r="AO19" s="908">
        <v>550495</v>
      </c>
      <c r="AP19" s="909">
        <v>0.52</v>
      </c>
      <c r="AQ19" s="908">
        <v>550495</v>
      </c>
      <c r="AR19" s="909">
        <v>0.52</v>
      </c>
      <c r="AS19" s="908">
        <v>550495</v>
      </c>
      <c r="AT19" s="909">
        <v>0.52</v>
      </c>
    </row>
    <row r="20" spans="1:46">
      <c r="A20" s="447" t="s">
        <v>107</v>
      </c>
      <c r="B20" s="446"/>
      <c r="C20" s="910">
        <v>1188246.17</v>
      </c>
      <c r="D20" s="911">
        <v>1.1299999999999999</v>
      </c>
      <c r="E20" s="910">
        <v>1188246.17</v>
      </c>
      <c r="F20" s="911">
        <v>1.1299999999999999</v>
      </c>
      <c r="G20" s="910">
        <v>1188246.17</v>
      </c>
      <c r="H20" s="911">
        <v>1.1299999999999999</v>
      </c>
      <c r="I20" s="910">
        <v>1188246.17</v>
      </c>
      <c r="J20" s="911">
        <v>1.1299999999999999</v>
      </c>
      <c r="K20" s="910">
        <v>1188246.17</v>
      </c>
      <c r="L20" s="911">
        <v>1.1299999999999999</v>
      </c>
      <c r="M20" s="910">
        <v>1188246.17</v>
      </c>
      <c r="N20" s="911">
        <v>1.1299999999999999</v>
      </c>
      <c r="O20" s="910">
        <v>1188246.17</v>
      </c>
      <c r="P20" s="911">
        <v>1.1299999999999999</v>
      </c>
      <c r="Q20" s="910">
        <v>1188246.17</v>
      </c>
      <c r="R20" s="911">
        <v>1.1299999999999999</v>
      </c>
      <c r="S20" s="910">
        <v>1188246.17</v>
      </c>
      <c r="T20" s="911">
        <v>1.1299999999999999</v>
      </c>
      <c r="U20" s="910">
        <v>1188246.17</v>
      </c>
      <c r="V20" s="911">
        <v>1.1299999999999999</v>
      </c>
      <c r="W20" s="910">
        <v>1188246.17</v>
      </c>
      <c r="X20" s="911">
        <v>1.1299999999999999</v>
      </c>
      <c r="Y20" s="910">
        <v>1188246.17</v>
      </c>
      <c r="Z20" s="911">
        <v>1.1299999999999999</v>
      </c>
      <c r="AA20" s="910">
        <v>1188246.17</v>
      </c>
      <c r="AB20" s="911">
        <v>1.1299999999999999</v>
      </c>
      <c r="AC20" s="910">
        <v>1188246.17</v>
      </c>
      <c r="AD20" s="911">
        <v>1.1299999999999999</v>
      </c>
      <c r="AE20" s="910">
        <v>1188246.17</v>
      </c>
      <c r="AF20" s="911">
        <v>1.1299999999999999</v>
      </c>
      <c r="AG20" s="910">
        <v>1188246.17</v>
      </c>
      <c r="AH20" s="911">
        <v>1.1299999999999999</v>
      </c>
      <c r="AI20" s="910">
        <v>1188246.17</v>
      </c>
      <c r="AJ20" s="911">
        <v>1.1299999999999999</v>
      </c>
      <c r="AK20" s="910">
        <v>1188246.17</v>
      </c>
      <c r="AL20" s="911">
        <v>1.1299999999999999</v>
      </c>
      <c r="AM20" s="910">
        <v>1188246.17</v>
      </c>
      <c r="AN20" s="911">
        <v>1.1299999999999999</v>
      </c>
      <c r="AO20" s="910">
        <v>1188246.17</v>
      </c>
      <c r="AP20" s="911">
        <v>1.1299999999999999</v>
      </c>
      <c r="AQ20" s="910">
        <v>1188246.17</v>
      </c>
      <c r="AR20" s="911">
        <v>1.1299999999999999</v>
      </c>
      <c r="AS20" s="910">
        <v>1188246.17</v>
      </c>
      <c r="AT20" s="911">
        <v>1.1299999999999999</v>
      </c>
    </row>
    <row r="21" spans="1:46" ht="16.5" thickBot="1">
      <c r="A21" s="447" t="s">
        <v>108</v>
      </c>
      <c r="B21" s="446"/>
      <c r="C21" s="912">
        <v>5267242.53</v>
      </c>
      <c r="D21" s="911">
        <v>5</v>
      </c>
      <c r="E21" s="912">
        <v>5267242.53</v>
      </c>
      <c r="F21" s="911">
        <v>5.01</v>
      </c>
      <c r="G21" s="912">
        <v>5267242.53</v>
      </c>
      <c r="H21" s="911">
        <v>5.0199999999999996</v>
      </c>
      <c r="I21" s="912">
        <v>5267242.53</v>
      </c>
      <c r="J21" s="911">
        <v>5.0199999999999996</v>
      </c>
      <c r="K21" s="912">
        <v>5267242.53</v>
      </c>
      <c r="L21" s="911">
        <v>5.0199999999999996</v>
      </c>
      <c r="M21" s="912">
        <v>5267242.53</v>
      </c>
      <c r="N21" s="911">
        <v>5.0199999999999996</v>
      </c>
      <c r="O21" s="912">
        <v>5267242.53</v>
      </c>
      <c r="P21" s="911">
        <v>5.0199999999999996</v>
      </c>
      <c r="Q21" s="912">
        <v>5267242.53</v>
      </c>
      <c r="R21" s="911">
        <v>5.0199999999999996</v>
      </c>
      <c r="S21" s="912">
        <v>5267242.53</v>
      </c>
      <c r="T21" s="911">
        <v>5.0199999999999996</v>
      </c>
      <c r="U21" s="912">
        <v>5267242.53</v>
      </c>
      <c r="V21" s="911">
        <v>5.0199999999999996</v>
      </c>
      <c r="W21" s="912">
        <v>5267242.53</v>
      </c>
      <c r="X21" s="911">
        <v>5.0199999999999996</v>
      </c>
      <c r="Y21" s="912">
        <v>5267242.53</v>
      </c>
      <c r="Z21" s="911">
        <v>5.0199999999999996</v>
      </c>
      <c r="AA21" s="912">
        <v>5267242.53</v>
      </c>
      <c r="AB21" s="911">
        <v>5.0199999999999996</v>
      </c>
      <c r="AC21" s="912">
        <v>5267242.53</v>
      </c>
      <c r="AD21" s="911">
        <v>5.01</v>
      </c>
      <c r="AE21" s="912">
        <v>5267242.53</v>
      </c>
      <c r="AF21" s="911">
        <v>5.01</v>
      </c>
      <c r="AG21" s="912">
        <v>5267242.53</v>
      </c>
      <c r="AH21" s="911">
        <v>5</v>
      </c>
      <c r="AI21" s="912">
        <v>5267242.53</v>
      </c>
      <c r="AJ21" s="911">
        <v>5.01</v>
      </c>
      <c r="AK21" s="912">
        <v>5267242.53</v>
      </c>
      <c r="AL21" s="911">
        <v>5.01</v>
      </c>
      <c r="AM21" s="912">
        <v>5267242.53</v>
      </c>
      <c r="AN21" s="911">
        <v>5.01</v>
      </c>
      <c r="AO21" s="912">
        <v>5267242.53</v>
      </c>
      <c r="AP21" s="911">
        <v>5.01</v>
      </c>
      <c r="AQ21" s="912">
        <v>5267242.53</v>
      </c>
      <c r="AR21" s="911">
        <v>5.01</v>
      </c>
      <c r="AS21" s="912">
        <v>5267242.53</v>
      </c>
      <c r="AT21" s="911">
        <v>4.99</v>
      </c>
    </row>
    <row r="22" spans="1:46" ht="16.5" thickBot="1">
      <c r="A22" s="1026" t="s">
        <v>111</v>
      </c>
      <c r="B22" s="1027"/>
      <c r="C22" s="95">
        <f t="shared" ref="C22:D22" si="44">SUM(C19:C21)</f>
        <v>7005983.7000000002</v>
      </c>
      <c r="D22" s="907">
        <f t="shared" si="44"/>
        <v>6.65</v>
      </c>
      <c r="E22" s="95">
        <f t="shared" ref="E22:F22" si="45">SUM(E19:E21)</f>
        <v>7005983.7000000002</v>
      </c>
      <c r="F22" s="907">
        <f t="shared" si="45"/>
        <v>6.66</v>
      </c>
      <c r="G22" s="95">
        <f t="shared" ref="G22:H22" si="46">SUM(G19:G21)</f>
        <v>7005983.7000000002</v>
      </c>
      <c r="H22" s="907">
        <f t="shared" si="46"/>
        <v>6.68</v>
      </c>
      <c r="I22" s="95">
        <f t="shared" ref="I22:J22" si="47">SUM(I19:I21)</f>
        <v>7005983.7000000002</v>
      </c>
      <c r="J22" s="907">
        <f t="shared" si="47"/>
        <v>6.68</v>
      </c>
      <c r="K22" s="95">
        <f t="shared" ref="K22:L22" si="48">SUM(K19:K21)</f>
        <v>7005983.7000000002</v>
      </c>
      <c r="L22" s="907">
        <f t="shared" si="48"/>
        <v>6.68</v>
      </c>
      <c r="M22" s="95">
        <f t="shared" ref="M22:N22" si="49">SUM(M19:M21)</f>
        <v>7005983.7000000002</v>
      </c>
      <c r="N22" s="907">
        <f t="shared" si="49"/>
        <v>6.68</v>
      </c>
      <c r="O22" s="95">
        <f t="shared" ref="O22:P22" si="50">SUM(O19:O21)</f>
        <v>7005983.7000000002</v>
      </c>
      <c r="P22" s="907">
        <f t="shared" si="50"/>
        <v>6.68</v>
      </c>
      <c r="Q22" s="95">
        <f t="shared" ref="Q22:R22" si="51">SUM(Q19:Q21)</f>
        <v>7005983.7000000002</v>
      </c>
      <c r="R22" s="907">
        <f t="shared" si="51"/>
        <v>6.68</v>
      </c>
      <c r="S22" s="95">
        <f t="shared" ref="S22:T22" si="52">SUM(S19:S21)</f>
        <v>7005983.7000000002</v>
      </c>
      <c r="T22" s="907">
        <f t="shared" si="52"/>
        <v>6.68</v>
      </c>
      <c r="U22" s="95">
        <f t="shared" ref="U22:V22" si="53">SUM(U19:U21)</f>
        <v>7005983.7000000002</v>
      </c>
      <c r="V22" s="907">
        <f t="shared" si="53"/>
        <v>6.67</v>
      </c>
      <c r="W22" s="95">
        <f t="shared" ref="W22:X22" si="54">SUM(W19:W21)</f>
        <v>7005983.7000000002</v>
      </c>
      <c r="X22" s="907">
        <f t="shared" si="54"/>
        <v>6.67</v>
      </c>
      <c r="Y22" s="95">
        <f t="shared" ref="Y22:Z22" si="55">SUM(Y19:Y21)</f>
        <v>7005983.7000000002</v>
      </c>
      <c r="Z22" s="907">
        <f t="shared" si="55"/>
        <v>6.67</v>
      </c>
      <c r="AA22" s="95">
        <f t="shared" ref="AA22:AB22" si="56">SUM(AA19:AA21)</f>
        <v>7005983.7000000002</v>
      </c>
      <c r="AB22" s="907">
        <f t="shared" si="56"/>
        <v>6.67</v>
      </c>
      <c r="AC22" s="95">
        <f t="shared" ref="AC22:AD22" si="57">SUM(AC19:AC21)</f>
        <v>7005983.7000000002</v>
      </c>
      <c r="AD22" s="907">
        <f t="shared" si="57"/>
        <v>6.66</v>
      </c>
      <c r="AE22" s="95">
        <f t="shared" ref="AE22:AF22" si="58">SUM(AE19:AE21)</f>
        <v>7005983.7000000002</v>
      </c>
      <c r="AF22" s="907">
        <f t="shared" si="58"/>
        <v>6.66</v>
      </c>
      <c r="AG22" s="95">
        <f t="shared" ref="AG22:AH22" si="59">SUM(AG19:AG21)</f>
        <v>7005983.7000000002</v>
      </c>
      <c r="AH22" s="907">
        <f t="shared" si="59"/>
        <v>6.65</v>
      </c>
      <c r="AI22" s="95">
        <f t="shared" ref="AI22:AJ22" si="60">SUM(AI19:AI21)</f>
        <v>7005983.7000000002</v>
      </c>
      <c r="AJ22" s="907">
        <f t="shared" si="60"/>
        <v>6.67</v>
      </c>
      <c r="AK22" s="95">
        <f t="shared" ref="AK22:AL22" si="61">SUM(AK19:AK21)</f>
        <v>7005983.7000000002</v>
      </c>
      <c r="AL22" s="907">
        <f t="shared" si="61"/>
        <v>6.67</v>
      </c>
      <c r="AM22" s="95">
        <f t="shared" ref="AM22:AN22" si="62">SUM(AM19:AM21)</f>
        <v>7005983.7000000002</v>
      </c>
      <c r="AN22" s="907">
        <f t="shared" si="62"/>
        <v>6.66</v>
      </c>
      <c r="AO22" s="95">
        <f t="shared" ref="AO22:AP22" si="63">SUM(AO19:AO21)</f>
        <v>7005983.7000000002</v>
      </c>
      <c r="AP22" s="907">
        <f t="shared" si="63"/>
        <v>6.66</v>
      </c>
      <c r="AQ22" s="95">
        <f t="shared" ref="AQ22:AR22" si="64">SUM(AQ19:AQ21)</f>
        <v>7005983.7000000002</v>
      </c>
      <c r="AR22" s="907">
        <f t="shared" si="64"/>
        <v>6.66</v>
      </c>
      <c r="AS22" s="95">
        <f t="shared" ref="AS22:AT22" si="65">SUM(AS19:AS21)</f>
        <v>7005983.7000000002</v>
      </c>
      <c r="AT22" s="907">
        <f t="shared" si="65"/>
        <v>6.6400000000000006</v>
      </c>
    </row>
    <row r="23" spans="1:46" ht="15">
      <c r="A23" s="553" t="s">
        <v>45</v>
      </c>
      <c r="B23" s="478" t="s">
        <v>58</v>
      </c>
      <c r="C23" s="464">
        <v>792673.33</v>
      </c>
      <c r="D23" s="914">
        <v>0.75</v>
      </c>
      <c r="E23" s="464">
        <v>242673.33</v>
      </c>
      <c r="F23" s="914">
        <v>0.23</v>
      </c>
      <c r="G23" s="464">
        <v>242673.33</v>
      </c>
      <c r="H23" s="914">
        <v>0.23</v>
      </c>
      <c r="I23" s="765">
        <v>2673.33</v>
      </c>
      <c r="J23" s="914">
        <v>0</v>
      </c>
      <c r="K23" s="489">
        <v>2673.33</v>
      </c>
      <c r="L23" s="914">
        <v>0</v>
      </c>
      <c r="M23" s="765">
        <v>16095.39</v>
      </c>
      <c r="N23" s="914">
        <v>0.02</v>
      </c>
      <c r="O23" s="765">
        <v>4743903.62</v>
      </c>
      <c r="P23" s="914">
        <v>4.5199999999999996</v>
      </c>
      <c r="Q23" s="765">
        <v>243903.62</v>
      </c>
      <c r="R23" s="914">
        <v>0.23</v>
      </c>
      <c r="S23" s="765">
        <v>8889.5300000000007</v>
      </c>
      <c r="T23" s="914">
        <v>0.01</v>
      </c>
      <c r="U23" s="489">
        <v>8889.5300000000007</v>
      </c>
      <c r="V23" s="914">
        <v>0.01</v>
      </c>
      <c r="W23" s="765">
        <v>16335.16</v>
      </c>
      <c r="X23" s="914">
        <v>0.02</v>
      </c>
      <c r="Y23" s="489">
        <v>16335.16</v>
      </c>
      <c r="Z23" s="914">
        <v>0.02</v>
      </c>
      <c r="AA23" s="765">
        <v>1387261</v>
      </c>
      <c r="AB23" s="914">
        <v>1.32</v>
      </c>
      <c r="AC23" s="969">
        <v>7261</v>
      </c>
      <c r="AD23" s="868">
        <v>0.01</v>
      </c>
      <c r="AE23" s="765">
        <v>2502718.7200000002</v>
      </c>
      <c r="AF23" s="868">
        <v>2.38</v>
      </c>
      <c r="AG23" s="765">
        <v>2502718.7200000002</v>
      </c>
      <c r="AH23" s="868">
        <v>2.38</v>
      </c>
      <c r="AI23" s="765">
        <v>2502718.7200000002</v>
      </c>
      <c r="AJ23" s="868">
        <v>2.38</v>
      </c>
      <c r="AK23" s="765">
        <v>2487718.7200000002</v>
      </c>
      <c r="AL23" s="868">
        <v>2.37</v>
      </c>
      <c r="AM23" s="765">
        <v>197.12</v>
      </c>
      <c r="AN23" s="868">
        <v>0</v>
      </c>
      <c r="AO23" s="765">
        <v>80015.89</v>
      </c>
      <c r="AP23" s="868">
        <v>0.08</v>
      </c>
      <c r="AQ23" s="765">
        <v>90632.33</v>
      </c>
      <c r="AR23" s="868">
        <v>0.09</v>
      </c>
      <c r="AS23" s="489">
        <v>90632.33</v>
      </c>
      <c r="AT23" s="868">
        <v>0.09</v>
      </c>
    </row>
    <row r="24" spans="1:46" ht="15">
      <c r="A24" s="553" t="s">
        <v>45</v>
      </c>
      <c r="B24" s="478" t="s">
        <v>58</v>
      </c>
      <c r="C24" s="489">
        <v>0</v>
      </c>
      <c r="D24" s="914">
        <v>0</v>
      </c>
      <c r="E24" s="489">
        <v>0</v>
      </c>
      <c r="F24" s="914">
        <v>0</v>
      </c>
      <c r="G24" s="489">
        <v>0</v>
      </c>
      <c r="H24" s="914">
        <v>0</v>
      </c>
      <c r="I24" s="489">
        <v>0</v>
      </c>
      <c r="J24" s="914">
        <v>0</v>
      </c>
      <c r="K24" s="489">
        <v>0</v>
      </c>
      <c r="L24" s="914">
        <v>0</v>
      </c>
      <c r="M24" s="489">
        <v>0</v>
      </c>
      <c r="N24" s="914">
        <v>0</v>
      </c>
      <c r="O24" s="489">
        <v>0</v>
      </c>
      <c r="P24" s="914">
        <v>0</v>
      </c>
      <c r="Q24" s="489">
        <v>0</v>
      </c>
      <c r="R24" s="914">
        <v>0</v>
      </c>
      <c r="S24" s="489">
        <v>0</v>
      </c>
      <c r="T24" s="914">
        <v>0</v>
      </c>
      <c r="U24" s="489">
        <v>0</v>
      </c>
      <c r="V24" s="914">
        <v>0</v>
      </c>
      <c r="W24" s="489">
        <v>0</v>
      </c>
      <c r="X24" s="914">
        <v>0</v>
      </c>
      <c r="Y24" s="489">
        <v>0</v>
      </c>
      <c r="Z24" s="914">
        <v>0</v>
      </c>
      <c r="AA24" s="489">
        <v>0</v>
      </c>
      <c r="AB24" s="914">
        <v>0</v>
      </c>
      <c r="AC24" s="808">
        <v>0</v>
      </c>
      <c r="AD24" s="868">
        <v>0</v>
      </c>
      <c r="AE24" s="489">
        <v>0</v>
      </c>
      <c r="AF24" s="868">
        <v>0</v>
      </c>
      <c r="AG24" s="489">
        <v>0</v>
      </c>
      <c r="AH24" s="868">
        <v>0</v>
      </c>
      <c r="AI24" s="489">
        <v>0</v>
      </c>
      <c r="AJ24" s="868">
        <v>0</v>
      </c>
      <c r="AK24" s="489">
        <v>0</v>
      </c>
      <c r="AL24" s="868">
        <v>0</v>
      </c>
      <c r="AM24" s="489">
        <v>0</v>
      </c>
      <c r="AN24" s="868">
        <v>0</v>
      </c>
      <c r="AO24" s="489">
        <v>0</v>
      </c>
      <c r="AP24" s="868">
        <v>0</v>
      </c>
      <c r="AQ24" s="489">
        <v>0</v>
      </c>
      <c r="AR24" s="868">
        <v>0</v>
      </c>
      <c r="AS24" s="489">
        <v>0</v>
      </c>
      <c r="AT24" s="868">
        <v>0</v>
      </c>
    </row>
    <row r="25" spans="1:46" ht="15">
      <c r="A25" s="554"/>
      <c r="B25" s="478"/>
      <c r="C25" s="489">
        <v>31271.93</v>
      </c>
      <c r="D25" s="914">
        <v>0.03</v>
      </c>
      <c r="E25" s="464">
        <v>526026.85</v>
      </c>
      <c r="F25" s="914">
        <v>0.5</v>
      </c>
      <c r="G25" s="585">
        <v>20485.080000000002</v>
      </c>
      <c r="H25" s="914">
        <v>0.02</v>
      </c>
      <c r="I25" s="765">
        <v>22975.08</v>
      </c>
      <c r="J25" s="914">
        <v>0.02</v>
      </c>
      <c r="K25" s="765">
        <v>23075.08</v>
      </c>
      <c r="L25" s="914">
        <v>0.02</v>
      </c>
      <c r="M25" s="765">
        <v>25750.080000000002</v>
      </c>
      <c r="N25" s="914">
        <v>0.02</v>
      </c>
      <c r="O25" s="765">
        <v>8247.34</v>
      </c>
      <c r="P25" s="914">
        <v>0.01</v>
      </c>
      <c r="Q25" s="765">
        <v>8836.39</v>
      </c>
      <c r="R25" s="914">
        <v>0.01</v>
      </c>
      <c r="S25" s="489">
        <v>8836.39</v>
      </c>
      <c r="T25" s="914">
        <v>0.01</v>
      </c>
      <c r="U25" s="489">
        <v>8836.39</v>
      </c>
      <c r="V25" s="914">
        <v>0.01</v>
      </c>
      <c r="W25" s="489">
        <v>8836.39</v>
      </c>
      <c r="X25" s="914">
        <v>0.01</v>
      </c>
      <c r="Y25" s="489">
        <v>8836.39</v>
      </c>
      <c r="Z25" s="914">
        <v>0.01</v>
      </c>
      <c r="AA25" s="765">
        <v>3577.95</v>
      </c>
      <c r="AB25" s="914">
        <v>0</v>
      </c>
      <c r="AC25" s="969">
        <v>10857.95</v>
      </c>
      <c r="AD25" s="868">
        <v>0.01</v>
      </c>
      <c r="AE25" s="464">
        <v>10857.95</v>
      </c>
      <c r="AF25" s="868">
        <v>0.01</v>
      </c>
      <c r="AG25" s="464">
        <v>10857.95</v>
      </c>
      <c r="AH25" s="868">
        <v>0.01</v>
      </c>
      <c r="AI25" s="464">
        <v>10857.95</v>
      </c>
      <c r="AJ25" s="868">
        <v>0.01</v>
      </c>
      <c r="AK25" s="765">
        <v>14873.39</v>
      </c>
      <c r="AL25" s="868">
        <v>0.01</v>
      </c>
      <c r="AM25" s="765">
        <v>1895.35</v>
      </c>
      <c r="AN25" s="868">
        <v>0</v>
      </c>
      <c r="AO25" s="489">
        <v>1895.35</v>
      </c>
      <c r="AP25" s="868">
        <v>0</v>
      </c>
      <c r="AQ25" s="489">
        <v>1895.35</v>
      </c>
      <c r="AR25" s="868">
        <v>0</v>
      </c>
      <c r="AS25" s="765">
        <v>3314.58</v>
      </c>
      <c r="AT25" s="868">
        <v>0</v>
      </c>
    </row>
    <row r="26" spans="1:46" ht="15">
      <c r="A26" s="554" t="s">
        <v>47</v>
      </c>
      <c r="B26" s="478" t="s">
        <v>58</v>
      </c>
      <c r="C26" s="916">
        <v>1000100</v>
      </c>
      <c r="D26" s="917">
        <v>0.95</v>
      </c>
      <c r="E26" s="916">
        <v>1000100</v>
      </c>
      <c r="F26" s="917">
        <v>0.95</v>
      </c>
      <c r="G26" s="916">
        <v>1000100</v>
      </c>
      <c r="H26" s="917">
        <v>0.96</v>
      </c>
      <c r="I26" s="916">
        <v>1000100</v>
      </c>
      <c r="J26" s="917">
        <v>0.96</v>
      </c>
      <c r="K26" s="916">
        <v>1000100</v>
      </c>
      <c r="L26" s="917">
        <v>0.96</v>
      </c>
      <c r="M26" s="916">
        <v>1000100</v>
      </c>
      <c r="N26" s="917">
        <v>0.96</v>
      </c>
      <c r="O26" s="916">
        <v>1000100</v>
      </c>
      <c r="P26" s="917">
        <v>0.96</v>
      </c>
      <c r="Q26" s="916">
        <v>1000100</v>
      </c>
      <c r="R26" s="917">
        <v>0.96</v>
      </c>
      <c r="S26" s="916">
        <v>1000100</v>
      </c>
      <c r="T26" s="917">
        <v>0.96</v>
      </c>
      <c r="U26" s="916">
        <v>1000100</v>
      </c>
      <c r="V26" s="917">
        <v>0.96</v>
      </c>
      <c r="W26" s="916">
        <v>1000100</v>
      </c>
      <c r="X26" s="917">
        <v>0.96</v>
      </c>
      <c r="Y26" s="916">
        <v>1000100</v>
      </c>
      <c r="Z26" s="917">
        <v>0.95</v>
      </c>
      <c r="AA26" s="916">
        <v>1000100</v>
      </c>
      <c r="AB26" s="917">
        <v>0.95</v>
      </c>
      <c r="AC26" s="809">
        <v>1000100</v>
      </c>
      <c r="AD26" s="970">
        <v>0.95</v>
      </c>
      <c r="AE26" s="809">
        <v>1000100</v>
      </c>
      <c r="AF26" s="970">
        <v>0.95</v>
      </c>
      <c r="AG26" s="809">
        <v>1000100</v>
      </c>
      <c r="AH26" s="970">
        <v>0.95</v>
      </c>
      <c r="AI26" s="809">
        <v>1000100</v>
      </c>
      <c r="AJ26" s="970">
        <v>0.95</v>
      </c>
      <c r="AK26" s="809">
        <v>1000100</v>
      </c>
      <c r="AL26" s="970">
        <v>0.95</v>
      </c>
      <c r="AM26" s="809">
        <v>1000100</v>
      </c>
      <c r="AN26" s="970">
        <v>0.95</v>
      </c>
      <c r="AO26" s="809">
        <v>1000100</v>
      </c>
      <c r="AP26" s="970">
        <v>0.95</v>
      </c>
      <c r="AQ26" s="809">
        <v>1000100</v>
      </c>
      <c r="AR26" s="970">
        <v>0.95</v>
      </c>
      <c r="AS26" s="809">
        <v>1000100</v>
      </c>
      <c r="AT26" s="970">
        <v>0.95</v>
      </c>
    </row>
    <row r="27" spans="1:46" ht="15">
      <c r="A27" s="553" t="s">
        <v>47</v>
      </c>
      <c r="B27" s="478" t="s">
        <v>58</v>
      </c>
      <c r="C27" s="913">
        <v>721000</v>
      </c>
      <c r="D27" s="917">
        <v>0.69</v>
      </c>
      <c r="E27" s="913">
        <v>721000</v>
      </c>
      <c r="F27" s="917">
        <v>0.69</v>
      </c>
      <c r="G27" s="913">
        <v>721000</v>
      </c>
      <c r="H27" s="917">
        <v>0.69</v>
      </c>
      <c r="I27" s="765">
        <v>961000</v>
      </c>
      <c r="J27" s="917">
        <v>0.92</v>
      </c>
      <c r="K27" s="765">
        <v>961000</v>
      </c>
      <c r="L27" s="917">
        <v>0.92</v>
      </c>
      <c r="M27" s="765">
        <v>961000</v>
      </c>
      <c r="N27" s="917">
        <v>0.92</v>
      </c>
      <c r="O27" s="765">
        <v>961000</v>
      </c>
      <c r="P27" s="917">
        <v>0.92</v>
      </c>
      <c r="Q27" s="765">
        <v>961000</v>
      </c>
      <c r="R27" s="917">
        <v>0.92</v>
      </c>
      <c r="S27" s="765">
        <v>1201000</v>
      </c>
      <c r="T27" s="917">
        <v>1.1399999999999999</v>
      </c>
      <c r="U27" s="765">
        <v>1201000</v>
      </c>
      <c r="V27" s="917">
        <v>1.1399999999999999</v>
      </c>
      <c r="W27" s="765">
        <v>1201000</v>
      </c>
      <c r="X27" s="917">
        <v>1.1399999999999999</v>
      </c>
      <c r="Y27" s="765">
        <v>1201000</v>
      </c>
      <c r="Z27" s="917">
        <v>1.1399999999999999</v>
      </c>
      <c r="AA27" s="765">
        <v>1201000</v>
      </c>
      <c r="AB27" s="917">
        <v>1.1399999999999999</v>
      </c>
      <c r="AC27" s="969">
        <v>1081000</v>
      </c>
      <c r="AD27" s="970">
        <v>1.03</v>
      </c>
      <c r="AE27" s="969">
        <v>1081000</v>
      </c>
      <c r="AF27" s="970">
        <v>1.03</v>
      </c>
      <c r="AG27" s="969">
        <v>1081000</v>
      </c>
      <c r="AH27" s="970">
        <v>1.03</v>
      </c>
      <c r="AI27" s="969">
        <v>1081000</v>
      </c>
      <c r="AJ27" s="970">
        <v>1.03</v>
      </c>
      <c r="AK27" s="969">
        <v>1081000</v>
      </c>
      <c r="AL27" s="970">
        <v>1.03</v>
      </c>
      <c r="AM27" s="585">
        <v>995000</v>
      </c>
      <c r="AN27" s="970">
        <v>0.95</v>
      </c>
      <c r="AO27" s="585">
        <v>995000</v>
      </c>
      <c r="AP27" s="970">
        <v>0.95</v>
      </c>
      <c r="AQ27" s="585">
        <v>995000</v>
      </c>
      <c r="AR27" s="970">
        <v>0.95</v>
      </c>
      <c r="AS27" s="585">
        <v>995000</v>
      </c>
      <c r="AT27" s="970">
        <v>0.94</v>
      </c>
    </row>
    <row r="28" spans="1:46" ht="15">
      <c r="A28" s="553" t="s">
        <v>47</v>
      </c>
      <c r="B28" s="478" t="s">
        <v>100</v>
      </c>
      <c r="C28" s="918">
        <v>2000000</v>
      </c>
      <c r="D28" s="917">
        <v>1.9</v>
      </c>
      <c r="E28" s="918">
        <v>2000000</v>
      </c>
      <c r="F28" s="917">
        <v>1.9</v>
      </c>
      <c r="G28" s="918">
        <v>2000000</v>
      </c>
      <c r="H28" s="917">
        <v>1.91</v>
      </c>
      <c r="I28" s="918">
        <v>2000000</v>
      </c>
      <c r="J28" s="917">
        <v>1.91</v>
      </c>
      <c r="K28" s="918">
        <v>2000000</v>
      </c>
      <c r="L28" s="917">
        <v>1.91</v>
      </c>
      <c r="M28" s="918">
        <v>2000000</v>
      </c>
      <c r="N28" s="917">
        <v>1.9</v>
      </c>
      <c r="O28" s="918">
        <v>2000000</v>
      </c>
      <c r="P28" s="917">
        <v>1.9</v>
      </c>
      <c r="Q28" s="918">
        <v>2000000</v>
      </c>
      <c r="R28" s="917">
        <v>1.9</v>
      </c>
      <c r="S28" s="918">
        <v>2000000</v>
      </c>
      <c r="T28" s="917">
        <v>1.9</v>
      </c>
      <c r="U28" s="918">
        <v>2000000</v>
      </c>
      <c r="V28" s="917">
        <v>1.9</v>
      </c>
      <c r="W28" s="918">
        <v>2000000</v>
      </c>
      <c r="X28" s="917">
        <v>1.9</v>
      </c>
      <c r="Y28" s="918">
        <v>2000000</v>
      </c>
      <c r="Z28" s="917">
        <v>1.9</v>
      </c>
      <c r="AA28" s="918">
        <v>2000000</v>
      </c>
      <c r="AB28" s="917">
        <v>1.9</v>
      </c>
      <c r="AC28" s="971">
        <v>2000000</v>
      </c>
      <c r="AD28" s="970">
        <v>1.9</v>
      </c>
      <c r="AE28" s="971">
        <v>2000000</v>
      </c>
      <c r="AF28" s="970">
        <v>1.9</v>
      </c>
      <c r="AG28" s="971">
        <v>2000000</v>
      </c>
      <c r="AH28" s="970">
        <v>1.9</v>
      </c>
      <c r="AI28" s="971">
        <v>2000000</v>
      </c>
      <c r="AJ28" s="970">
        <v>1.9</v>
      </c>
      <c r="AK28" s="971">
        <v>2000000</v>
      </c>
      <c r="AL28" s="970">
        <v>1.9</v>
      </c>
      <c r="AM28" s="971">
        <v>2000000</v>
      </c>
      <c r="AN28" s="970">
        <v>1.9</v>
      </c>
      <c r="AO28" s="971">
        <v>2000000</v>
      </c>
      <c r="AP28" s="970">
        <v>1.9</v>
      </c>
      <c r="AQ28" s="971">
        <v>2000000</v>
      </c>
      <c r="AR28" s="970">
        <v>1.9</v>
      </c>
      <c r="AS28" s="971">
        <v>2000000</v>
      </c>
      <c r="AT28" s="970">
        <v>1.9</v>
      </c>
    </row>
    <row r="29" spans="1:46" ht="15">
      <c r="A29" s="554" t="s">
        <v>47</v>
      </c>
      <c r="B29" s="478" t="s">
        <v>103</v>
      </c>
      <c r="C29" s="916">
        <v>5000000</v>
      </c>
      <c r="D29" s="917">
        <v>4.75</v>
      </c>
      <c r="E29" s="916">
        <v>5000000</v>
      </c>
      <c r="F29" s="917">
        <v>4.76</v>
      </c>
      <c r="G29" s="916">
        <v>5000000</v>
      </c>
      <c r="H29" s="917">
        <v>4.7699999999999996</v>
      </c>
      <c r="I29" s="916">
        <v>5000000</v>
      </c>
      <c r="J29" s="917">
        <v>4.7699999999999996</v>
      </c>
      <c r="K29" s="916">
        <v>5000000</v>
      </c>
      <c r="L29" s="917">
        <v>4.7699999999999996</v>
      </c>
      <c r="M29" s="916">
        <v>5000000</v>
      </c>
      <c r="N29" s="917">
        <v>4.7699999999999996</v>
      </c>
      <c r="O29" s="916">
        <v>5000000</v>
      </c>
      <c r="P29" s="917">
        <v>4.7699999999999996</v>
      </c>
      <c r="Q29" s="916">
        <v>5000000</v>
      </c>
      <c r="R29" s="917">
        <v>4.7699999999999996</v>
      </c>
      <c r="S29" s="916">
        <v>5000000</v>
      </c>
      <c r="T29" s="917">
        <v>4.7699999999999996</v>
      </c>
      <c r="U29" s="916">
        <v>5000000</v>
      </c>
      <c r="V29" s="917">
        <v>4.7699999999999996</v>
      </c>
      <c r="W29" s="916">
        <v>5000000</v>
      </c>
      <c r="X29" s="917">
        <v>4.7699999999999996</v>
      </c>
      <c r="Y29" s="916">
        <v>5000000</v>
      </c>
      <c r="Z29" s="917">
        <v>4.76</v>
      </c>
      <c r="AA29" s="916">
        <v>5000000</v>
      </c>
      <c r="AB29" s="917">
        <v>4.76</v>
      </c>
      <c r="AC29" s="809">
        <v>5000000</v>
      </c>
      <c r="AD29" s="970">
        <v>4.75</v>
      </c>
      <c r="AE29" s="809">
        <v>5000000</v>
      </c>
      <c r="AF29" s="970">
        <v>4.76</v>
      </c>
      <c r="AG29" s="809">
        <v>5000000</v>
      </c>
      <c r="AH29" s="970">
        <v>4.75</v>
      </c>
      <c r="AI29" s="809">
        <v>5000000</v>
      </c>
      <c r="AJ29" s="970">
        <v>4.76</v>
      </c>
      <c r="AK29" s="809">
        <v>5000000</v>
      </c>
      <c r="AL29" s="970">
        <v>4.76</v>
      </c>
      <c r="AM29" s="809">
        <v>5000000</v>
      </c>
      <c r="AN29" s="970">
        <v>4.76</v>
      </c>
      <c r="AO29" s="809">
        <v>5000000</v>
      </c>
      <c r="AP29" s="970">
        <v>4.76</v>
      </c>
      <c r="AQ29" s="809">
        <v>5000000</v>
      </c>
      <c r="AR29" s="970">
        <v>4.76</v>
      </c>
      <c r="AS29" s="809">
        <v>5000000</v>
      </c>
      <c r="AT29" s="970">
        <v>4.74</v>
      </c>
    </row>
    <row r="30" spans="1:46" ht="15">
      <c r="A30" s="554" t="s">
        <v>47</v>
      </c>
      <c r="B30" s="478" t="s">
        <v>103</v>
      </c>
      <c r="C30" s="916">
        <v>3000000</v>
      </c>
      <c r="D30" s="917">
        <v>2.85</v>
      </c>
      <c r="E30" s="916">
        <v>3000000</v>
      </c>
      <c r="F30" s="917">
        <v>2.85</v>
      </c>
      <c r="G30" s="916">
        <v>3000000</v>
      </c>
      <c r="H30" s="917">
        <v>2.86</v>
      </c>
      <c r="I30" s="916">
        <v>3000000</v>
      </c>
      <c r="J30" s="917">
        <v>2.86</v>
      </c>
      <c r="K30" s="916">
        <v>3000000</v>
      </c>
      <c r="L30" s="917">
        <v>2.86</v>
      </c>
      <c r="M30" s="916">
        <v>3000000</v>
      </c>
      <c r="N30" s="917">
        <v>2.86</v>
      </c>
      <c r="O30" s="916">
        <v>3000000</v>
      </c>
      <c r="P30" s="917">
        <v>2.86</v>
      </c>
      <c r="Q30" s="916">
        <v>3000000</v>
      </c>
      <c r="R30" s="917">
        <v>2.86</v>
      </c>
      <c r="S30" s="916">
        <v>3000000</v>
      </c>
      <c r="T30" s="917">
        <v>2.86</v>
      </c>
      <c r="U30" s="916">
        <v>3000000</v>
      </c>
      <c r="V30" s="917">
        <v>2.86</v>
      </c>
      <c r="W30" s="916">
        <v>3000000</v>
      </c>
      <c r="X30" s="917">
        <v>2.86</v>
      </c>
      <c r="Y30" s="916">
        <v>3000000</v>
      </c>
      <c r="Z30" s="917">
        <v>2.86</v>
      </c>
      <c r="AA30" s="916">
        <v>3000000</v>
      </c>
      <c r="AB30" s="917">
        <v>2.86</v>
      </c>
      <c r="AC30" s="809">
        <v>3000000</v>
      </c>
      <c r="AD30" s="970">
        <v>2.85</v>
      </c>
      <c r="AE30" s="809">
        <v>3000000</v>
      </c>
      <c r="AF30" s="970">
        <v>2.85</v>
      </c>
      <c r="AG30" s="809">
        <v>3000000</v>
      </c>
      <c r="AH30" s="970">
        <v>2.85</v>
      </c>
      <c r="AI30" s="809">
        <v>3000000</v>
      </c>
      <c r="AJ30" s="970">
        <v>2.85</v>
      </c>
      <c r="AK30" s="809">
        <v>3000000</v>
      </c>
      <c r="AL30" s="970">
        <v>2.86</v>
      </c>
      <c r="AM30" s="809">
        <v>3000000</v>
      </c>
      <c r="AN30" s="970">
        <v>2.85</v>
      </c>
      <c r="AO30" s="809">
        <v>3000000</v>
      </c>
      <c r="AP30" s="970">
        <v>2.85</v>
      </c>
      <c r="AQ30" s="809">
        <v>3000000</v>
      </c>
      <c r="AR30" s="970">
        <v>2.85</v>
      </c>
      <c r="AS30" s="809">
        <v>3000000</v>
      </c>
      <c r="AT30" s="970">
        <v>2.85</v>
      </c>
    </row>
    <row r="31" spans="1:46" ht="15">
      <c r="A31" s="554" t="s">
        <v>47</v>
      </c>
      <c r="B31" s="478" t="s">
        <v>95</v>
      </c>
      <c r="C31" s="919">
        <v>5000000</v>
      </c>
      <c r="D31" s="917">
        <v>4.75</v>
      </c>
      <c r="E31" s="919">
        <v>5000000</v>
      </c>
      <c r="F31" s="917">
        <v>4.75</v>
      </c>
      <c r="G31" s="919">
        <v>5000000</v>
      </c>
      <c r="H31" s="917">
        <v>4.7699999999999996</v>
      </c>
      <c r="I31" s="919">
        <v>5000000</v>
      </c>
      <c r="J31" s="917">
        <v>4.7699999999999996</v>
      </c>
      <c r="K31" s="919">
        <v>5000000</v>
      </c>
      <c r="L31" s="917">
        <v>4.7699999999999996</v>
      </c>
      <c r="M31" s="919">
        <v>5000000</v>
      </c>
      <c r="N31" s="917">
        <v>4.7699999999999996</v>
      </c>
      <c r="O31" s="919">
        <v>5000000</v>
      </c>
      <c r="P31" s="917">
        <v>4.7699999999999996</v>
      </c>
      <c r="Q31" s="919">
        <v>5000000</v>
      </c>
      <c r="R31" s="917">
        <v>4.7699999999999996</v>
      </c>
      <c r="S31" s="919">
        <v>5000000</v>
      </c>
      <c r="T31" s="917">
        <v>4.7699999999999996</v>
      </c>
      <c r="U31" s="919">
        <v>5000000</v>
      </c>
      <c r="V31" s="917">
        <v>4.7699999999999996</v>
      </c>
      <c r="W31" s="919">
        <v>5000000</v>
      </c>
      <c r="X31" s="917">
        <v>4.7699999999999996</v>
      </c>
      <c r="Y31" s="919">
        <v>5000000</v>
      </c>
      <c r="Z31" s="917">
        <v>4.76</v>
      </c>
      <c r="AA31" s="919">
        <v>5000000</v>
      </c>
      <c r="AB31" s="917">
        <v>4.76</v>
      </c>
      <c r="AC31" s="810">
        <v>5000000</v>
      </c>
      <c r="AD31" s="970">
        <v>4.75</v>
      </c>
      <c r="AE31" s="810">
        <v>5000000</v>
      </c>
      <c r="AF31" s="970">
        <v>4.76</v>
      </c>
      <c r="AG31" s="810">
        <v>5000000</v>
      </c>
      <c r="AH31" s="970">
        <v>4.75</v>
      </c>
      <c r="AI31" s="810">
        <v>5000000</v>
      </c>
      <c r="AJ31" s="970">
        <v>4.76</v>
      </c>
      <c r="AK31" s="810">
        <v>5000000</v>
      </c>
      <c r="AL31" s="970">
        <v>4.76</v>
      </c>
      <c r="AM31" s="810">
        <v>5000000</v>
      </c>
      <c r="AN31" s="970">
        <v>4.75</v>
      </c>
      <c r="AO31" s="810">
        <v>5000000</v>
      </c>
      <c r="AP31" s="970">
        <v>4.75</v>
      </c>
      <c r="AQ31" s="810">
        <v>5000000</v>
      </c>
      <c r="AR31" s="970">
        <v>4.75</v>
      </c>
      <c r="AS31" s="810">
        <v>5000000</v>
      </c>
      <c r="AT31" s="970">
        <v>4.74</v>
      </c>
    </row>
    <row r="32" spans="1:46" ht="15">
      <c r="A32" s="554" t="s">
        <v>47</v>
      </c>
      <c r="B32" s="478" t="s">
        <v>95</v>
      </c>
      <c r="C32" s="919">
        <v>1500000</v>
      </c>
      <c r="D32" s="917">
        <v>1.42</v>
      </c>
      <c r="E32" s="919">
        <v>1500000</v>
      </c>
      <c r="F32" s="917">
        <v>1.42</v>
      </c>
      <c r="G32" s="919">
        <v>1500000</v>
      </c>
      <c r="H32" s="917">
        <v>1.43</v>
      </c>
      <c r="I32" s="919">
        <v>1500000</v>
      </c>
      <c r="J32" s="917">
        <v>1.43</v>
      </c>
      <c r="K32" s="919">
        <v>1500000</v>
      </c>
      <c r="L32" s="917">
        <v>1.43</v>
      </c>
      <c r="M32" s="919">
        <v>1500000</v>
      </c>
      <c r="N32" s="917">
        <v>1.43</v>
      </c>
      <c r="O32" s="919">
        <v>1500000</v>
      </c>
      <c r="P32" s="917">
        <v>1.43</v>
      </c>
      <c r="Q32" s="919">
        <v>1500000</v>
      </c>
      <c r="R32" s="917">
        <v>1.43</v>
      </c>
      <c r="S32" s="919">
        <v>1500000</v>
      </c>
      <c r="T32">
        <v>1.43</v>
      </c>
      <c r="U32" s="919">
        <v>1500000</v>
      </c>
      <c r="V32">
        <v>1.43</v>
      </c>
      <c r="W32" s="919">
        <v>1500000</v>
      </c>
      <c r="X32">
        <v>1.43</v>
      </c>
      <c r="Y32" s="919">
        <v>1500000</v>
      </c>
      <c r="Z32">
        <v>1.43</v>
      </c>
      <c r="AA32" s="919">
        <v>1500000</v>
      </c>
      <c r="AB32">
        <v>1.43</v>
      </c>
      <c r="AC32" s="810">
        <v>1500000</v>
      </c>
      <c r="AD32" s="970">
        <v>1.43</v>
      </c>
      <c r="AE32" s="810">
        <v>1500000</v>
      </c>
      <c r="AF32" s="970">
        <v>1.43</v>
      </c>
      <c r="AG32" s="810">
        <v>1500000</v>
      </c>
      <c r="AH32" s="970">
        <v>1.42</v>
      </c>
      <c r="AI32" s="810">
        <v>1500000</v>
      </c>
      <c r="AJ32" s="970">
        <v>1.42</v>
      </c>
      <c r="AK32" s="810">
        <v>1500000</v>
      </c>
      <c r="AL32" s="970">
        <v>1.43</v>
      </c>
      <c r="AM32" s="810">
        <v>1500000</v>
      </c>
      <c r="AN32" s="970">
        <v>1.43</v>
      </c>
      <c r="AO32" s="810">
        <v>1500000</v>
      </c>
      <c r="AP32" s="970">
        <v>1.43</v>
      </c>
      <c r="AQ32" s="810">
        <v>1500000</v>
      </c>
      <c r="AR32" s="970">
        <v>1.43</v>
      </c>
      <c r="AS32" s="810">
        <v>1500000</v>
      </c>
      <c r="AT32" s="970">
        <v>1.42</v>
      </c>
    </row>
    <row r="33" spans="1:50" ht="15">
      <c r="A33" s="554" t="s">
        <v>47</v>
      </c>
      <c r="B33" s="478" t="s">
        <v>125</v>
      </c>
      <c r="C33" s="919">
        <v>4500000</v>
      </c>
      <c r="D33" s="917">
        <v>4.28</v>
      </c>
      <c r="E33" s="919">
        <v>4500000</v>
      </c>
      <c r="F33" s="917">
        <v>4.28</v>
      </c>
      <c r="G33" s="919">
        <v>4500000</v>
      </c>
      <c r="H33" s="917">
        <v>4.29</v>
      </c>
      <c r="I33" s="919">
        <v>4500000</v>
      </c>
      <c r="J33" s="917">
        <v>4.29</v>
      </c>
      <c r="K33" s="919">
        <v>4500000</v>
      </c>
      <c r="L33" s="917">
        <v>4.29</v>
      </c>
      <c r="M33" s="919">
        <v>4500000</v>
      </c>
      <c r="N33" s="917">
        <v>4.29</v>
      </c>
      <c r="O33" s="919"/>
      <c r="P33" s="917"/>
      <c r="Q33" s="919">
        <v>4500000</v>
      </c>
      <c r="R33" s="917">
        <v>4.29</v>
      </c>
      <c r="S33" s="919">
        <v>4500000</v>
      </c>
      <c r="T33" s="917">
        <v>4.29</v>
      </c>
      <c r="U33" s="919">
        <v>4500000</v>
      </c>
      <c r="V33" s="917">
        <v>4.29</v>
      </c>
      <c r="W33" s="919">
        <v>4500000</v>
      </c>
      <c r="X33" s="917">
        <v>4.29</v>
      </c>
      <c r="Y33" s="919">
        <v>4500000</v>
      </c>
      <c r="Z33" s="917">
        <v>4.28</v>
      </c>
      <c r="AA33" s="919">
        <v>4500000</v>
      </c>
      <c r="AB33" s="917">
        <v>4.28</v>
      </c>
      <c r="AC33" s="969">
        <v>6000000</v>
      </c>
      <c r="AD33" s="970">
        <v>5.7</v>
      </c>
      <c r="AE33" s="969">
        <v>6000000</v>
      </c>
      <c r="AF33" s="970">
        <v>5.71</v>
      </c>
      <c r="AG33" s="969">
        <v>6000000</v>
      </c>
      <c r="AH33" s="970">
        <v>5.7</v>
      </c>
      <c r="AI33" s="969">
        <v>6000000</v>
      </c>
      <c r="AJ33" s="970">
        <v>5.71</v>
      </c>
      <c r="AK33" s="969">
        <v>6000000</v>
      </c>
      <c r="AL33" s="970">
        <v>5.71</v>
      </c>
      <c r="AM33" s="969">
        <v>6000000</v>
      </c>
      <c r="AN33" s="970">
        <v>5.71</v>
      </c>
      <c r="AO33" s="969">
        <v>6000000</v>
      </c>
      <c r="AP33" s="970">
        <v>5.71</v>
      </c>
      <c r="AQ33" s="969">
        <v>6000000</v>
      </c>
      <c r="AR33" s="970">
        <v>5.71</v>
      </c>
      <c r="AS33" s="969">
        <v>6000000</v>
      </c>
      <c r="AT33" s="970">
        <v>5.69</v>
      </c>
    </row>
    <row r="34" spans="1:50" ht="15">
      <c r="A34" s="554" t="s">
        <v>47</v>
      </c>
      <c r="B34" s="478" t="s">
        <v>125</v>
      </c>
      <c r="C34" s="920">
        <v>1000000</v>
      </c>
      <c r="D34" s="917">
        <v>0.95</v>
      </c>
      <c r="E34" s="920">
        <v>1000000</v>
      </c>
      <c r="F34" s="917">
        <v>0.95</v>
      </c>
      <c r="G34" s="920">
        <v>1000000</v>
      </c>
      <c r="H34" s="917">
        <v>0.95</v>
      </c>
      <c r="I34" s="920">
        <v>1000000</v>
      </c>
      <c r="J34" s="917">
        <v>0.95</v>
      </c>
      <c r="K34" s="920">
        <v>1000000</v>
      </c>
      <c r="L34" s="917">
        <v>0.95</v>
      </c>
      <c r="M34" s="920">
        <v>1000000</v>
      </c>
      <c r="N34" s="917">
        <v>0.95</v>
      </c>
      <c r="O34" s="920">
        <v>1000000</v>
      </c>
      <c r="P34" s="917">
        <v>0.95</v>
      </c>
      <c r="Q34" s="920">
        <v>1000000</v>
      </c>
      <c r="R34" s="917">
        <v>0.95</v>
      </c>
      <c r="S34" s="920">
        <v>1000000</v>
      </c>
      <c r="T34" s="917">
        <v>0.95</v>
      </c>
      <c r="U34" s="920">
        <v>1000000</v>
      </c>
      <c r="V34" s="917">
        <v>0.95</v>
      </c>
      <c r="W34" s="920">
        <v>1000000</v>
      </c>
      <c r="X34" s="917">
        <v>0.95</v>
      </c>
      <c r="Y34" s="920">
        <v>1000000</v>
      </c>
      <c r="Z34" s="917">
        <v>0.95</v>
      </c>
      <c r="AA34" s="920">
        <v>1000000</v>
      </c>
      <c r="AB34" s="917">
        <v>0.95</v>
      </c>
      <c r="AC34" s="807">
        <v>1000000</v>
      </c>
      <c r="AD34" s="970">
        <v>0.95</v>
      </c>
      <c r="AE34" s="807">
        <v>1000000</v>
      </c>
      <c r="AF34" s="970">
        <v>0.95</v>
      </c>
      <c r="AG34" s="807">
        <v>1000000</v>
      </c>
      <c r="AH34" s="970">
        <v>0.95</v>
      </c>
      <c r="AI34" s="807">
        <v>1000000</v>
      </c>
      <c r="AJ34" s="970">
        <v>0.95</v>
      </c>
      <c r="AK34" s="807">
        <v>1000000</v>
      </c>
      <c r="AL34" s="970">
        <v>0.95</v>
      </c>
      <c r="AM34" s="807">
        <v>1000000</v>
      </c>
      <c r="AN34" s="970">
        <v>0.95</v>
      </c>
      <c r="AO34" s="807">
        <v>1000000</v>
      </c>
      <c r="AP34" s="970">
        <v>0.95</v>
      </c>
      <c r="AQ34" s="807">
        <v>1000000</v>
      </c>
      <c r="AR34" s="970">
        <v>0.95</v>
      </c>
      <c r="AS34" s="807">
        <v>1000000</v>
      </c>
      <c r="AT34" s="970">
        <v>0.95</v>
      </c>
    </row>
    <row r="35" spans="1:50" ht="15">
      <c r="A35" s="554" t="s">
        <v>47</v>
      </c>
      <c r="B35" s="478" t="s">
        <v>125</v>
      </c>
      <c r="C35" s="920">
        <v>1000000</v>
      </c>
      <c r="D35" s="917">
        <v>0.95</v>
      </c>
      <c r="E35" s="920">
        <v>1000000</v>
      </c>
      <c r="F35" s="917">
        <v>0.95</v>
      </c>
      <c r="G35" s="920">
        <v>1000000</v>
      </c>
      <c r="H35" s="917">
        <v>0.95</v>
      </c>
      <c r="I35" s="920">
        <v>1000000</v>
      </c>
      <c r="J35" s="917">
        <v>0.95</v>
      </c>
      <c r="K35" s="920">
        <v>1000000</v>
      </c>
      <c r="L35" s="917">
        <v>0.95</v>
      </c>
      <c r="M35" s="920">
        <v>1000000</v>
      </c>
      <c r="N35" s="917">
        <v>0.95</v>
      </c>
      <c r="O35" s="920">
        <v>1000000</v>
      </c>
      <c r="P35" s="917">
        <v>0.95</v>
      </c>
      <c r="Q35" s="920">
        <v>1000000</v>
      </c>
      <c r="R35" s="917">
        <v>0.95</v>
      </c>
      <c r="S35" s="920">
        <v>1000000</v>
      </c>
      <c r="T35" s="917">
        <v>0.95</v>
      </c>
      <c r="U35" s="920">
        <v>1000000</v>
      </c>
      <c r="V35" s="917">
        <v>0.95</v>
      </c>
      <c r="W35" s="920">
        <v>1000000</v>
      </c>
      <c r="X35" s="917">
        <v>0.95</v>
      </c>
      <c r="Y35" s="920">
        <v>1000000</v>
      </c>
      <c r="Z35" s="917">
        <v>0.95</v>
      </c>
      <c r="AA35" s="920"/>
      <c r="AB35" s="917"/>
      <c r="AC35" s="969"/>
      <c r="AD35" s="970"/>
      <c r="AE35" s="969"/>
      <c r="AF35" s="970"/>
      <c r="AG35" s="969"/>
      <c r="AH35" s="970"/>
      <c r="AI35" s="969"/>
      <c r="AJ35" s="970"/>
      <c r="AK35" s="969"/>
      <c r="AL35" s="970"/>
      <c r="AM35" s="969"/>
      <c r="AN35" s="970"/>
      <c r="AO35" s="969"/>
      <c r="AP35" s="970"/>
      <c r="AQ35" s="969"/>
      <c r="AR35" s="970"/>
      <c r="AS35" s="969"/>
      <c r="AT35" s="970"/>
    </row>
    <row r="36" spans="1:50" thickBot="1">
      <c r="A36" s="848"/>
      <c r="B36" s="478"/>
      <c r="C36" s="920">
        <v>2000000</v>
      </c>
      <c r="D36" s="917">
        <v>1.9</v>
      </c>
      <c r="E36" s="920">
        <v>2000000</v>
      </c>
      <c r="F36" s="917">
        <v>1.9</v>
      </c>
      <c r="G36" s="920">
        <v>2000000</v>
      </c>
      <c r="H36" s="917">
        <v>1.91</v>
      </c>
      <c r="I36" s="920">
        <v>2000000</v>
      </c>
      <c r="J36" s="917">
        <v>1.91</v>
      </c>
      <c r="K36" s="920">
        <v>2000000</v>
      </c>
      <c r="L36" s="917">
        <v>1.91</v>
      </c>
      <c r="M36" s="920">
        <v>2000000</v>
      </c>
      <c r="N36" s="917">
        <v>1.9</v>
      </c>
      <c r="O36" s="920">
        <v>2000000</v>
      </c>
      <c r="P36" s="917">
        <v>1.9</v>
      </c>
      <c r="Q36" s="920">
        <v>2000000</v>
      </c>
      <c r="R36" s="917">
        <v>1.9</v>
      </c>
      <c r="S36" s="920">
        <v>2000000</v>
      </c>
      <c r="T36" s="917">
        <v>1.9</v>
      </c>
      <c r="U36" s="920">
        <v>2000000</v>
      </c>
      <c r="V36" s="917">
        <v>1.9</v>
      </c>
      <c r="W36" s="920">
        <v>2000000</v>
      </c>
      <c r="X36" s="917">
        <v>1.9</v>
      </c>
      <c r="Y36" s="920">
        <v>2000000</v>
      </c>
      <c r="Z36" s="917">
        <v>1.9</v>
      </c>
      <c r="AA36" s="920">
        <v>2000000</v>
      </c>
      <c r="AB36" s="917">
        <v>1.9</v>
      </c>
      <c r="AC36" s="807">
        <v>2000000</v>
      </c>
      <c r="AD36" s="970">
        <v>1.9</v>
      </c>
      <c r="AE36" s="807">
        <v>2000000</v>
      </c>
      <c r="AF36" s="970">
        <v>1.9</v>
      </c>
      <c r="AG36" s="807">
        <v>2000000</v>
      </c>
      <c r="AH36" s="970">
        <v>1.9</v>
      </c>
      <c r="AI36" s="807">
        <v>2000000</v>
      </c>
      <c r="AJ36" s="970">
        <v>1.9</v>
      </c>
      <c r="AK36" s="807">
        <v>2000000</v>
      </c>
      <c r="AL36" s="970">
        <v>1.9</v>
      </c>
      <c r="AM36" s="807">
        <v>2000000</v>
      </c>
      <c r="AN36" s="970">
        <v>1.9</v>
      </c>
      <c r="AO36" s="807">
        <v>2000000</v>
      </c>
      <c r="AP36" s="970">
        <v>1.9</v>
      </c>
      <c r="AQ36" s="807">
        <v>2000000</v>
      </c>
      <c r="AR36" s="970">
        <v>1.9</v>
      </c>
      <c r="AS36" s="807">
        <v>2000000</v>
      </c>
      <c r="AT36" s="970">
        <v>1.9</v>
      </c>
    </row>
    <row r="37" spans="1:50" ht="16.5" thickBot="1">
      <c r="A37" s="1028" t="s">
        <v>111</v>
      </c>
      <c r="B37" s="1052"/>
      <c r="C37" s="95">
        <f t="shared" ref="C37:D37" si="66">SUM(C23:C36)</f>
        <v>27545045.259999998</v>
      </c>
      <c r="D37" s="95">
        <f t="shared" si="66"/>
        <v>26.17</v>
      </c>
      <c r="E37" s="95">
        <f t="shared" ref="E37:F37" si="67">SUM(E23:E36)</f>
        <v>27489800.18</v>
      </c>
      <c r="F37" s="95">
        <f t="shared" si="67"/>
        <v>26.129999999999995</v>
      </c>
      <c r="G37" s="95">
        <f t="shared" ref="G37:H37" si="68">SUM(G23:G36)</f>
        <v>26984258.41</v>
      </c>
      <c r="H37" s="95">
        <f t="shared" si="68"/>
        <v>25.739999999999995</v>
      </c>
      <c r="I37" s="95">
        <f t="shared" ref="I37:J37" si="69">SUM(I23:I36)</f>
        <v>26986748.41</v>
      </c>
      <c r="J37" s="95">
        <f t="shared" si="69"/>
        <v>25.739999999999995</v>
      </c>
      <c r="K37" s="95">
        <f t="shared" ref="K37:L37" si="70">SUM(K23:K36)</f>
        <v>26986848.41</v>
      </c>
      <c r="L37" s="95">
        <f t="shared" si="70"/>
        <v>25.739999999999995</v>
      </c>
      <c r="M37" s="95">
        <f t="shared" ref="M37:N37" si="71">SUM(M23:M36)</f>
        <v>27002945.469999999</v>
      </c>
      <c r="N37" s="95">
        <f t="shared" si="71"/>
        <v>25.739999999999995</v>
      </c>
      <c r="O37" s="95">
        <f t="shared" ref="O37:P37" si="72">SUM(O23:O36)</f>
        <v>27213250.960000001</v>
      </c>
      <c r="P37" s="95">
        <f t="shared" si="72"/>
        <v>25.939999999999994</v>
      </c>
      <c r="Q37" s="95">
        <f t="shared" ref="Q37:R37" si="73">SUM(Q23:Q36)</f>
        <v>27213840.009999998</v>
      </c>
      <c r="R37" s="95">
        <f t="shared" si="73"/>
        <v>25.939999999999994</v>
      </c>
      <c r="S37" s="95">
        <f t="shared" ref="S37:T37" si="74">SUM(S23:S36)</f>
        <v>27218825.920000002</v>
      </c>
      <c r="T37" s="95">
        <f t="shared" si="74"/>
        <v>25.939999999999994</v>
      </c>
      <c r="U37" s="95">
        <f t="shared" ref="U37:V37" si="75">SUM(U23:U36)</f>
        <v>27218825.920000002</v>
      </c>
      <c r="V37" s="95">
        <f t="shared" si="75"/>
        <v>25.939999999999994</v>
      </c>
      <c r="W37" s="95">
        <f t="shared" ref="W37:X37" si="76">SUM(W23:W36)</f>
        <v>27226271.550000001</v>
      </c>
      <c r="X37" s="95">
        <f t="shared" si="76"/>
        <v>25.949999999999996</v>
      </c>
      <c r="Y37" s="95">
        <f t="shared" ref="Y37:Z37" si="77">SUM(Y23:Y36)</f>
        <v>27226271.550000001</v>
      </c>
      <c r="Z37" s="95">
        <f t="shared" si="77"/>
        <v>25.909999999999997</v>
      </c>
      <c r="AA37" s="95">
        <f t="shared" ref="AA37:AB37" si="78">SUM(AA23:AA36)</f>
        <v>27591938.949999999</v>
      </c>
      <c r="AB37" s="95">
        <f t="shared" si="78"/>
        <v>26.249999999999996</v>
      </c>
      <c r="AC37" s="95">
        <f t="shared" ref="AC37:AD37" si="79">SUM(AC23:AC36)</f>
        <v>27599218.949999999</v>
      </c>
      <c r="AD37" s="95">
        <f t="shared" si="79"/>
        <v>26.229999999999997</v>
      </c>
      <c r="AE37" s="95">
        <f t="shared" ref="AE37:AF37" si="80">SUM(AE23:AE36)</f>
        <v>30094676.670000002</v>
      </c>
      <c r="AF37" s="95">
        <f t="shared" si="80"/>
        <v>28.63</v>
      </c>
      <c r="AG37" s="95">
        <f t="shared" ref="AG37:AH37" si="81">SUM(AG23:AG36)</f>
        <v>30094676.670000002</v>
      </c>
      <c r="AH37" s="95">
        <f t="shared" si="81"/>
        <v>28.589999999999996</v>
      </c>
      <c r="AI37" s="95">
        <f t="shared" ref="AI37:AJ37" si="82">SUM(AI23:AI36)</f>
        <v>30094676.670000002</v>
      </c>
      <c r="AJ37" s="95">
        <f t="shared" si="82"/>
        <v>28.62</v>
      </c>
      <c r="AK37" s="95">
        <f t="shared" ref="AK37:AL37" si="83">SUM(AK23:AK36)</f>
        <v>30083692.109999999</v>
      </c>
      <c r="AL37" s="95">
        <f t="shared" si="83"/>
        <v>28.63</v>
      </c>
      <c r="AM37" s="95">
        <f t="shared" ref="AM37:AN37" si="84">SUM(AM23:AM36)</f>
        <v>27497192.469999999</v>
      </c>
      <c r="AN37" s="95">
        <f t="shared" si="84"/>
        <v>26.149999999999995</v>
      </c>
      <c r="AO37" s="95">
        <f t="shared" ref="AO37:AP37" si="85">SUM(AO23:AO36)</f>
        <v>27577011.240000002</v>
      </c>
      <c r="AP37" s="95">
        <f t="shared" si="85"/>
        <v>26.23</v>
      </c>
      <c r="AQ37" s="95">
        <f t="shared" ref="AQ37:AR37" si="86">SUM(AQ23:AQ36)</f>
        <v>27587627.68</v>
      </c>
      <c r="AR37" s="95">
        <f t="shared" si="86"/>
        <v>26.24</v>
      </c>
      <c r="AS37" s="95">
        <f t="shared" ref="AS37:AT37" si="87">SUM(AS23:AS36)</f>
        <v>27589046.91</v>
      </c>
      <c r="AT37" s="95">
        <f t="shared" si="87"/>
        <v>26.17</v>
      </c>
    </row>
    <row r="38" spans="1:50" ht="16.5" thickBot="1">
      <c r="A38" s="1029" t="s">
        <v>48</v>
      </c>
      <c r="B38" s="1053"/>
      <c r="C38" s="921"/>
      <c r="D38" s="922"/>
      <c r="E38" s="921"/>
      <c r="F38" s="922"/>
      <c r="G38" s="921"/>
      <c r="H38" s="922"/>
      <c r="I38" s="921"/>
      <c r="J38" s="922"/>
      <c r="K38" s="921"/>
      <c r="L38" s="922"/>
      <c r="M38" s="921"/>
      <c r="N38" s="922"/>
      <c r="O38" s="921"/>
      <c r="P38" s="922"/>
      <c r="Q38" s="921"/>
      <c r="R38" s="922"/>
      <c r="S38" s="921"/>
      <c r="T38" s="922"/>
      <c r="U38" s="921"/>
      <c r="V38" s="922"/>
      <c r="W38" s="921"/>
      <c r="X38" s="922"/>
      <c r="Y38" s="921"/>
      <c r="Z38" s="922"/>
      <c r="AA38" s="921"/>
      <c r="AB38" s="922"/>
      <c r="AC38" s="921"/>
      <c r="AD38" s="922"/>
      <c r="AE38" s="921"/>
      <c r="AF38" s="922"/>
      <c r="AG38" s="921"/>
      <c r="AH38" s="922"/>
      <c r="AI38" s="921"/>
      <c r="AJ38" s="922"/>
      <c r="AK38" s="921"/>
      <c r="AL38" s="922"/>
      <c r="AM38" s="921"/>
      <c r="AN38" s="922"/>
      <c r="AO38" s="921"/>
      <c r="AP38" s="922"/>
      <c r="AQ38" s="921"/>
      <c r="AR38" s="922"/>
      <c r="AS38" s="921"/>
      <c r="AT38" s="922"/>
    </row>
    <row r="39" spans="1:50" ht="16.5" thickBot="1">
      <c r="A39" s="1031" t="s">
        <v>111</v>
      </c>
      <c r="B39" s="1051"/>
      <c r="C39" s="113"/>
      <c r="D39" s="923"/>
      <c r="E39" s="113"/>
      <c r="F39" s="923"/>
      <c r="G39" s="113"/>
      <c r="H39" s="923"/>
      <c r="I39" s="113"/>
      <c r="J39" s="923"/>
      <c r="K39" s="113"/>
      <c r="L39" s="923"/>
      <c r="M39" s="113"/>
      <c r="N39" s="923"/>
      <c r="O39" s="113"/>
      <c r="P39" s="923"/>
      <c r="Q39" s="113"/>
      <c r="R39" s="923"/>
      <c r="S39" s="113"/>
      <c r="T39" s="923"/>
      <c r="U39" s="113"/>
      <c r="V39" s="923"/>
      <c r="W39" s="113"/>
      <c r="X39" s="923"/>
      <c r="Y39" s="113"/>
      <c r="Z39" s="923"/>
      <c r="AA39" s="113"/>
      <c r="AB39" s="923"/>
      <c r="AC39" s="113"/>
      <c r="AD39" s="923"/>
      <c r="AE39" s="113"/>
      <c r="AF39" s="923"/>
      <c r="AG39" s="113"/>
      <c r="AH39" s="923"/>
      <c r="AI39" s="113"/>
      <c r="AJ39" s="923"/>
      <c r="AK39" s="113"/>
      <c r="AL39" s="923"/>
      <c r="AM39" s="113"/>
      <c r="AN39" s="923"/>
      <c r="AO39" s="113"/>
      <c r="AP39" s="923"/>
      <c r="AQ39" s="113"/>
      <c r="AR39" s="923"/>
      <c r="AS39" s="113"/>
      <c r="AT39" s="923"/>
    </row>
    <row r="40" spans="1:50" ht="16.5" thickBot="1">
      <c r="A40" s="114" t="s">
        <v>67</v>
      </c>
      <c r="B40" s="115" t="s">
        <v>74</v>
      </c>
      <c r="C40" s="924"/>
      <c r="D40" s="924"/>
      <c r="E40" s="924">
        <v>300</v>
      </c>
      <c r="F40" s="924"/>
      <c r="G40" s="924">
        <v>300</v>
      </c>
      <c r="H40" s="924"/>
      <c r="I40" s="924">
        <v>300</v>
      </c>
      <c r="J40" s="924"/>
      <c r="K40" s="924">
        <v>300</v>
      </c>
      <c r="L40" s="924"/>
      <c r="M40" s="924">
        <v>300</v>
      </c>
      <c r="N40" s="924"/>
      <c r="O40" s="924">
        <v>300</v>
      </c>
      <c r="P40" s="924"/>
      <c r="Q40" s="924">
        <v>300</v>
      </c>
      <c r="R40" s="924"/>
      <c r="S40" s="924">
        <v>300</v>
      </c>
      <c r="T40" s="924"/>
      <c r="U40" s="924">
        <v>300</v>
      </c>
      <c r="V40" s="924"/>
      <c r="W40" s="924">
        <v>300</v>
      </c>
      <c r="X40" s="924"/>
      <c r="Y40" s="924">
        <v>300</v>
      </c>
      <c r="Z40" s="924"/>
      <c r="AA40" s="924">
        <v>300</v>
      </c>
      <c r="AB40" s="924"/>
      <c r="AC40" s="924">
        <v>300</v>
      </c>
      <c r="AD40" s="924"/>
      <c r="AE40" s="924">
        <v>300</v>
      </c>
      <c r="AF40" s="924"/>
      <c r="AG40" s="924">
        <v>300</v>
      </c>
      <c r="AH40" s="924"/>
      <c r="AI40" s="924">
        <v>300</v>
      </c>
      <c r="AJ40" s="924"/>
      <c r="AK40" s="924">
        <v>300</v>
      </c>
      <c r="AL40" s="924"/>
      <c r="AM40" s="924">
        <v>300</v>
      </c>
      <c r="AN40" s="924"/>
      <c r="AO40" s="924">
        <v>300</v>
      </c>
      <c r="AP40" s="924"/>
      <c r="AQ40" s="924">
        <v>300</v>
      </c>
      <c r="AR40" s="924"/>
      <c r="AS40" s="924"/>
      <c r="AT40" s="924"/>
    </row>
    <row r="41" spans="1:50" ht="48" thickBot="1">
      <c r="A41" s="122" t="s">
        <v>58</v>
      </c>
      <c r="B41" s="123" t="s">
        <v>75</v>
      </c>
      <c r="C41" s="473">
        <v>3380.61</v>
      </c>
      <c r="D41" s="924"/>
      <c r="E41" s="473">
        <v>3549.64</v>
      </c>
      <c r="F41" s="924"/>
      <c r="G41" s="473">
        <v>3718.67</v>
      </c>
      <c r="H41" s="924"/>
      <c r="I41" s="473">
        <v>3887.7</v>
      </c>
      <c r="J41" s="924"/>
      <c r="K41" s="473">
        <v>4056.73</v>
      </c>
      <c r="L41" s="924"/>
      <c r="M41" s="473">
        <v>4563.83</v>
      </c>
      <c r="N41" s="924"/>
      <c r="O41" s="511">
        <v>4732.8599999999997</v>
      </c>
      <c r="P41" s="924"/>
      <c r="Q41" s="473">
        <v>4901.8900000000003</v>
      </c>
      <c r="R41" s="924"/>
      <c r="S41" s="473">
        <v>5070.92</v>
      </c>
      <c r="T41" s="924"/>
      <c r="U41" s="473">
        <v>5239.95</v>
      </c>
      <c r="V41" s="924"/>
      <c r="W41" s="473">
        <v>5747.04</v>
      </c>
      <c r="X41" s="924"/>
      <c r="Y41" s="473">
        <v>5916.07</v>
      </c>
      <c r="Z41" s="924"/>
      <c r="AA41" s="473">
        <v>6085.1</v>
      </c>
      <c r="AB41" s="924"/>
      <c r="AC41" s="473">
        <v>6254.13</v>
      </c>
      <c r="AD41" s="924"/>
      <c r="AE41" s="473">
        <v>6423.16</v>
      </c>
      <c r="AF41" s="924"/>
      <c r="AG41" s="473">
        <v>6930.25</v>
      </c>
      <c r="AH41" s="924">
        <v>0.01</v>
      </c>
      <c r="AI41" s="473">
        <v>7099.29</v>
      </c>
      <c r="AJ41" s="924">
        <v>0.01</v>
      </c>
      <c r="AK41" s="473">
        <v>7268.32</v>
      </c>
      <c r="AL41" s="924">
        <v>0.01</v>
      </c>
      <c r="AM41" s="473">
        <v>7437.35</v>
      </c>
      <c r="AN41" s="924">
        <v>0.01</v>
      </c>
      <c r="AO41" s="473">
        <v>7606.38</v>
      </c>
      <c r="AP41" s="924">
        <v>0.01</v>
      </c>
      <c r="AQ41" s="473">
        <v>8113.47</v>
      </c>
      <c r="AR41" s="924">
        <v>0.01</v>
      </c>
      <c r="AS41" s="770">
        <v>8592.15</v>
      </c>
      <c r="AT41" s="924">
        <v>0.01</v>
      </c>
      <c r="AU41" s="499" t="e">
        <f>#REF!-'[60]300925'!$M$70</f>
        <v>#REF!</v>
      </c>
      <c r="AV41" s="499" t="e">
        <f>#REF!-'[60]300925'!$M$70</f>
        <v>#REF!</v>
      </c>
      <c r="AW41" s="499" t="e">
        <f>AU41-'[60]300925'!$M$70</f>
        <v>#REF!</v>
      </c>
      <c r="AX41" s="499" t="e">
        <f>AV41-'[60]300925'!$M$70</f>
        <v>#REF!</v>
      </c>
    </row>
    <row r="42" spans="1:50" ht="32.25" thickBot="1">
      <c r="A42" s="122" t="s">
        <v>58</v>
      </c>
      <c r="B42" s="123" t="s">
        <v>131</v>
      </c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  <c r="O42" s="924"/>
      <c r="P42" s="924"/>
      <c r="Q42" s="924"/>
      <c r="R42" s="924"/>
      <c r="S42" s="924"/>
      <c r="T42" s="924"/>
      <c r="U42" s="924"/>
      <c r="V42" s="924"/>
      <c r="W42" s="924"/>
      <c r="X42" s="924"/>
      <c r="Y42" s="924"/>
      <c r="Z42" s="924"/>
      <c r="AA42" s="924"/>
      <c r="AB42" s="924"/>
      <c r="AC42" s="924"/>
      <c r="AD42" s="924"/>
      <c r="AE42" s="924"/>
      <c r="AF42" s="924"/>
      <c r="AG42" s="924"/>
      <c r="AH42" s="924"/>
      <c r="AI42" s="924"/>
      <c r="AJ42" s="924"/>
      <c r="AK42" s="924"/>
      <c r="AL42" s="924"/>
      <c r="AM42" s="924"/>
      <c r="AN42" s="924"/>
      <c r="AO42" s="924"/>
      <c r="AP42" s="924"/>
      <c r="AQ42" s="924"/>
      <c r="AR42" s="924"/>
      <c r="AS42" s="820"/>
      <c r="AT42" s="924"/>
    </row>
    <row r="43" spans="1:50" ht="16.5" thickBot="1">
      <c r="A43" s="122" t="s">
        <v>101</v>
      </c>
      <c r="B43" s="123" t="s">
        <v>57</v>
      </c>
      <c r="C43" s="833">
        <v>1018510.95</v>
      </c>
      <c r="D43" s="926">
        <v>0.97</v>
      </c>
      <c r="E43" s="833">
        <v>1014766.42</v>
      </c>
      <c r="F43" s="926">
        <v>0.96</v>
      </c>
      <c r="G43" s="833">
        <v>1011021.9</v>
      </c>
      <c r="H43" s="926">
        <v>0.97</v>
      </c>
      <c r="I43" s="833">
        <v>1007277.37</v>
      </c>
      <c r="J43" s="926">
        <v>0.96</v>
      </c>
      <c r="K43" s="833">
        <v>1003532.85</v>
      </c>
      <c r="L43" s="926">
        <v>0.96</v>
      </c>
      <c r="M43" s="833">
        <v>992299.27</v>
      </c>
      <c r="N43" s="926">
        <v>0.96</v>
      </c>
      <c r="O43" s="881">
        <v>988554.74</v>
      </c>
      <c r="P43" s="926">
        <v>0.94</v>
      </c>
      <c r="Q43" s="833">
        <v>984810.22</v>
      </c>
      <c r="R43" s="926">
        <v>0.94</v>
      </c>
      <c r="S43" s="833">
        <v>981065.69</v>
      </c>
      <c r="T43" s="926">
        <v>0.93</v>
      </c>
      <c r="U43" s="833">
        <v>977321.17</v>
      </c>
      <c r="V43" s="926">
        <v>0.93</v>
      </c>
      <c r="W43" s="833">
        <v>966087.59</v>
      </c>
      <c r="X43" s="926">
        <v>0.92</v>
      </c>
      <c r="Y43" s="833">
        <v>962343.07</v>
      </c>
      <c r="Z43" s="926">
        <v>0.92</v>
      </c>
      <c r="AA43" s="833">
        <v>958598.54</v>
      </c>
      <c r="AB43" s="926">
        <v>0.91</v>
      </c>
      <c r="AC43" s="833">
        <v>954854.01</v>
      </c>
      <c r="AD43" s="926">
        <v>0.91</v>
      </c>
      <c r="AE43" s="833">
        <v>951109.49</v>
      </c>
      <c r="AF43" s="926">
        <v>0.9</v>
      </c>
      <c r="AG43" s="833">
        <v>939875.91</v>
      </c>
      <c r="AH43" s="926">
        <v>0.89</v>
      </c>
      <c r="AI43" s="833">
        <v>936131.39</v>
      </c>
      <c r="AJ43" s="926">
        <v>0.89</v>
      </c>
      <c r="AK43" s="833">
        <v>932386.86</v>
      </c>
      <c r="AL43" s="926">
        <v>0.89</v>
      </c>
      <c r="AM43" s="833">
        <v>928642.34</v>
      </c>
      <c r="AN43" s="926">
        <v>0.88</v>
      </c>
      <c r="AO43" s="833">
        <v>924897.81</v>
      </c>
      <c r="AP43" s="926">
        <v>0.88</v>
      </c>
      <c r="AQ43" s="833">
        <v>913664.23</v>
      </c>
      <c r="AR43" s="926">
        <v>0.87</v>
      </c>
      <c r="AS43" s="881">
        <v>909919.71</v>
      </c>
      <c r="AT43" s="926">
        <v>0.86</v>
      </c>
    </row>
    <row r="44" spans="1:50" ht="16.5" thickBot="1">
      <c r="A44" s="122" t="s">
        <v>29</v>
      </c>
      <c r="B44" s="123" t="s">
        <v>57</v>
      </c>
      <c r="C44" s="927"/>
      <c r="D44" s="924"/>
      <c r="E44" s="927"/>
      <c r="F44" s="924"/>
      <c r="G44" s="927"/>
      <c r="H44" s="924"/>
      <c r="I44" s="927"/>
      <c r="J44" s="924"/>
      <c r="K44" s="927"/>
      <c r="L44" s="924"/>
      <c r="M44" s="927"/>
      <c r="N44" s="924"/>
      <c r="O44" s="927"/>
      <c r="P44" s="924"/>
      <c r="Q44" s="927"/>
      <c r="R44" s="924"/>
      <c r="S44" s="927"/>
      <c r="T44" s="924"/>
      <c r="U44" s="927"/>
      <c r="V44" s="924"/>
      <c r="W44" s="927"/>
      <c r="X44" s="924"/>
      <c r="Y44" s="927"/>
      <c r="Z44" s="924"/>
      <c r="AA44" s="927"/>
      <c r="AB44" s="924"/>
      <c r="AC44" s="927"/>
      <c r="AD44" s="924"/>
      <c r="AE44" s="927"/>
      <c r="AF44" s="924"/>
      <c r="AG44" s="927"/>
      <c r="AH44" s="924"/>
      <c r="AI44" s="927"/>
      <c r="AJ44" s="924"/>
      <c r="AK44" s="927"/>
      <c r="AL44" s="924"/>
      <c r="AM44" s="927"/>
      <c r="AN44" s="924"/>
      <c r="AO44" s="927"/>
      <c r="AP44" s="924"/>
      <c r="AQ44" s="927"/>
      <c r="AR44" s="924"/>
      <c r="AS44" s="822"/>
      <c r="AT44" s="924"/>
    </row>
    <row r="45" spans="1:50" ht="16.5" thickBot="1">
      <c r="A45" s="122" t="s">
        <v>37</v>
      </c>
      <c r="B45" s="123" t="s">
        <v>57</v>
      </c>
      <c r="C45" s="927"/>
      <c r="D45" s="924"/>
      <c r="E45" s="927"/>
      <c r="F45" s="924"/>
      <c r="G45" s="927"/>
      <c r="H45" s="924"/>
      <c r="I45" s="927"/>
      <c r="J45" s="924"/>
      <c r="K45" s="927"/>
      <c r="L45" s="924"/>
      <c r="M45" s="927"/>
      <c r="N45" s="924"/>
      <c r="O45" s="927"/>
      <c r="P45" s="924"/>
      <c r="Q45" s="927"/>
      <c r="R45" s="924"/>
      <c r="S45" s="927"/>
      <c r="T45" s="924"/>
      <c r="U45" s="927"/>
      <c r="V45" s="924"/>
      <c r="W45" s="927"/>
      <c r="X45" s="924"/>
      <c r="Y45" s="927"/>
      <c r="Z45" s="924"/>
      <c r="AA45" s="927"/>
      <c r="AB45" s="924"/>
      <c r="AC45" s="927"/>
      <c r="AD45" s="924"/>
      <c r="AE45" s="927"/>
      <c r="AF45" s="924"/>
      <c r="AG45" s="927"/>
      <c r="AH45" s="924"/>
      <c r="AI45" s="927"/>
      <c r="AJ45" s="924"/>
      <c r="AK45" s="927"/>
      <c r="AL45" s="924"/>
      <c r="AM45" s="927"/>
      <c r="AN45" s="924"/>
      <c r="AO45" s="927"/>
      <c r="AP45" s="924"/>
      <c r="AQ45" s="927"/>
      <c r="AR45" s="924"/>
      <c r="AS45" s="822"/>
      <c r="AT45" s="924"/>
    </row>
    <row r="46" spans="1:50">
      <c r="A46" s="122" t="s">
        <v>68</v>
      </c>
      <c r="B46" s="123" t="s">
        <v>57</v>
      </c>
      <c r="C46" s="946">
        <v>1033549.4500000002</v>
      </c>
      <c r="D46" s="928">
        <v>0.97</v>
      </c>
      <c r="E46" s="946">
        <v>1031752.29</v>
      </c>
      <c r="F46" s="928">
        <v>0.98</v>
      </c>
      <c r="G46" s="946">
        <v>1029955.12</v>
      </c>
      <c r="H46" s="928">
        <v>0.98</v>
      </c>
      <c r="I46" s="946">
        <v>1028157.9799999999</v>
      </c>
      <c r="J46" s="928">
        <v>0.97</v>
      </c>
      <c r="K46" s="946">
        <v>1026360.82</v>
      </c>
      <c r="L46" s="928">
        <v>0.97</v>
      </c>
      <c r="M46" s="946">
        <v>1020969.31</v>
      </c>
      <c r="N46" s="928">
        <v>0.97</v>
      </c>
      <c r="O46" s="946">
        <v>1019172.1699999999</v>
      </c>
      <c r="P46" s="928">
        <v>0.97</v>
      </c>
      <c r="Q46" s="946">
        <v>1017374.9899999999</v>
      </c>
      <c r="R46" s="928">
        <v>0.97</v>
      </c>
      <c r="S46" s="946">
        <v>1015577.8400000002</v>
      </c>
      <c r="T46" s="928">
        <v>0.96</v>
      </c>
      <c r="U46" s="946">
        <v>1013780.7000000001</v>
      </c>
      <c r="V46" s="928">
        <v>0.96</v>
      </c>
      <c r="W46" s="946">
        <v>1008389.19</v>
      </c>
      <c r="X46" s="928">
        <v>0.96</v>
      </c>
      <c r="Y46" s="946">
        <v>1006592.03</v>
      </c>
      <c r="Z46" s="928">
        <v>0.96</v>
      </c>
      <c r="AA46" s="946">
        <v>1004794.87</v>
      </c>
      <c r="AB46" s="928">
        <v>0.96</v>
      </c>
      <c r="AC46" s="946">
        <v>1002997.7</v>
      </c>
      <c r="AD46" s="928">
        <v>0.96</v>
      </c>
      <c r="AE46" s="946">
        <v>1001200.5599999999</v>
      </c>
      <c r="AF46" s="928">
        <v>0.96</v>
      </c>
      <c r="AG46" s="946">
        <v>995809.07000000018</v>
      </c>
      <c r="AH46" s="928">
        <v>0.95</v>
      </c>
      <c r="AI46" s="946">
        <v>994011.92</v>
      </c>
      <c r="AJ46" s="928">
        <v>0.96</v>
      </c>
      <c r="AK46" s="946">
        <v>992214.76</v>
      </c>
      <c r="AL46" s="928">
        <v>0.96</v>
      </c>
      <c r="AM46" s="946">
        <v>990417.58</v>
      </c>
      <c r="AN46" s="928">
        <v>0.95</v>
      </c>
      <c r="AO46" s="946">
        <v>988620.43</v>
      </c>
      <c r="AP46" s="928">
        <v>0.95</v>
      </c>
      <c r="AQ46" s="927">
        <v>983228.93999999983</v>
      </c>
      <c r="AR46" s="928">
        <v>0.94</v>
      </c>
      <c r="AS46" s="968">
        <v>981431.79</v>
      </c>
      <c r="AT46" s="928">
        <v>0.94</v>
      </c>
    </row>
    <row r="47" spans="1:50">
      <c r="A47" s="122" t="s">
        <v>68</v>
      </c>
      <c r="B47" s="123" t="s">
        <v>57</v>
      </c>
      <c r="C47" s="833">
        <v>3771186.13</v>
      </c>
      <c r="D47" s="930">
        <v>3.56</v>
      </c>
      <c r="E47" s="833">
        <v>3767732.66</v>
      </c>
      <c r="F47" s="930">
        <v>3.56</v>
      </c>
      <c r="G47" s="833">
        <v>3764279.2</v>
      </c>
      <c r="H47" s="930">
        <v>3.59</v>
      </c>
      <c r="I47" s="833">
        <v>3760825.73</v>
      </c>
      <c r="J47" s="930">
        <v>3.59</v>
      </c>
      <c r="K47" s="833">
        <v>3757372.26</v>
      </c>
      <c r="L47" s="930">
        <v>3.59</v>
      </c>
      <c r="M47" s="833">
        <v>3747011.86</v>
      </c>
      <c r="N47" s="930">
        <v>3.57</v>
      </c>
      <c r="O47" s="833">
        <v>3743558.39</v>
      </c>
      <c r="P47" s="930">
        <v>3.57</v>
      </c>
      <c r="Q47" s="833">
        <v>3740104.93</v>
      </c>
      <c r="R47" s="930">
        <v>3.57</v>
      </c>
      <c r="S47" s="833">
        <v>3736651.46</v>
      </c>
      <c r="T47" s="930">
        <v>3.57</v>
      </c>
      <c r="U47" s="833">
        <v>3733197.99</v>
      </c>
      <c r="V47" s="930">
        <v>3.56</v>
      </c>
      <c r="W47" s="833">
        <v>3722837.59</v>
      </c>
      <c r="X47" s="930">
        <v>3.56</v>
      </c>
      <c r="Y47" s="833">
        <v>3719384.12</v>
      </c>
      <c r="Z47" s="930">
        <v>3.54</v>
      </c>
      <c r="AA47" s="833">
        <v>3715930.66</v>
      </c>
      <c r="AB47" s="930">
        <v>3.53</v>
      </c>
      <c r="AC47" s="833">
        <v>3712477.19</v>
      </c>
      <c r="AD47" s="930">
        <v>3.53</v>
      </c>
      <c r="AE47" s="833">
        <v>3709023.72</v>
      </c>
      <c r="AF47" s="930">
        <v>3.53</v>
      </c>
      <c r="AG47" s="833">
        <v>3698663.32</v>
      </c>
      <c r="AH47" s="930">
        <v>3.52</v>
      </c>
      <c r="AI47" s="833">
        <v>3695209.85</v>
      </c>
      <c r="AJ47" s="930">
        <v>3.51</v>
      </c>
      <c r="AK47" s="833">
        <v>3691756.39</v>
      </c>
      <c r="AL47" s="930">
        <v>3.51</v>
      </c>
      <c r="AM47" s="833">
        <v>3688302.92</v>
      </c>
      <c r="AN47" s="930">
        <v>3.51</v>
      </c>
      <c r="AO47" s="833">
        <v>3684849.45</v>
      </c>
      <c r="AP47" s="930">
        <v>3.5</v>
      </c>
      <c r="AQ47" s="833">
        <v>3674489.05</v>
      </c>
      <c r="AR47" s="930">
        <v>3.49</v>
      </c>
      <c r="AS47" s="833">
        <v>3671035.58</v>
      </c>
      <c r="AT47" s="930">
        <v>3.48</v>
      </c>
    </row>
    <row r="48" spans="1:50" ht="48" thickBot="1">
      <c r="A48" s="122" t="s">
        <v>70</v>
      </c>
      <c r="B48" s="123" t="s">
        <v>76</v>
      </c>
      <c r="C48" s="931">
        <v>1810900</v>
      </c>
      <c r="D48" s="932">
        <v>1.73</v>
      </c>
      <c r="E48" s="931">
        <v>1810900</v>
      </c>
      <c r="F48" s="932">
        <v>1.73</v>
      </c>
      <c r="G48" s="931">
        <v>1810900</v>
      </c>
      <c r="H48" s="932">
        <v>1.73</v>
      </c>
      <c r="I48" s="931">
        <v>1810900</v>
      </c>
      <c r="J48" s="932">
        <v>1.73</v>
      </c>
      <c r="K48" s="931">
        <v>1810900</v>
      </c>
      <c r="L48" s="932">
        <v>1.73</v>
      </c>
      <c r="M48" s="931">
        <v>1810900</v>
      </c>
      <c r="N48" s="932">
        <v>1.73</v>
      </c>
      <c r="O48" s="931">
        <v>1810900</v>
      </c>
      <c r="P48" s="932">
        <v>1.73</v>
      </c>
      <c r="Q48" s="931">
        <v>1810900</v>
      </c>
      <c r="R48" s="932">
        <v>1.73</v>
      </c>
      <c r="S48" s="931">
        <v>1810900</v>
      </c>
      <c r="T48" s="932">
        <v>1.73</v>
      </c>
      <c r="U48" s="931">
        <v>1810900</v>
      </c>
      <c r="V48" s="932">
        <v>1.73</v>
      </c>
      <c r="W48" s="931">
        <v>1810900</v>
      </c>
      <c r="X48" s="932">
        <v>1.73</v>
      </c>
      <c r="Y48" s="931">
        <v>1810900</v>
      </c>
      <c r="Z48" s="932">
        <v>1.73</v>
      </c>
      <c r="AA48" s="931">
        <v>1810900</v>
      </c>
      <c r="AB48" s="932">
        <v>1.73</v>
      </c>
      <c r="AC48" s="931">
        <v>1810900</v>
      </c>
      <c r="AD48" s="932">
        <v>1.73</v>
      </c>
      <c r="AE48" s="931">
        <v>1810900</v>
      </c>
      <c r="AF48" s="932">
        <v>1.73</v>
      </c>
      <c r="AG48" s="931">
        <v>1810900</v>
      </c>
      <c r="AH48" s="932">
        <v>1.72</v>
      </c>
      <c r="AI48" s="931">
        <v>1810900</v>
      </c>
      <c r="AJ48" s="932">
        <v>1.72</v>
      </c>
      <c r="AK48" s="931">
        <v>1810900</v>
      </c>
      <c r="AL48" s="932">
        <v>1.72</v>
      </c>
      <c r="AM48" s="931">
        <v>1810900</v>
      </c>
      <c r="AN48" s="932">
        <v>1.72</v>
      </c>
      <c r="AO48" s="931">
        <v>1810900</v>
      </c>
      <c r="AP48" s="932">
        <v>1.72</v>
      </c>
      <c r="AQ48" s="931">
        <v>1810900</v>
      </c>
      <c r="AR48" s="932">
        <v>1.72</v>
      </c>
      <c r="AS48" s="584">
        <v>1810900</v>
      </c>
      <c r="AT48" s="932">
        <v>1.72</v>
      </c>
    </row>
    <row r="49" spans="1:46" ht="15">
      <c r="A49" s="696" t="s">
        <v>105</v>
      </c>
      <c r="B49" s="696" t="s">
        <v>105</v>
      </c>
      <c r="C49" s="933"/>
      <c r="D49" s="926"/>
      <c r="E49" s="933"/>
      <c r="F49" s="926"/>
      <c r="G49" s="933"/>
      <c r="H49" s="926"/>
      <c r="I49" s="933"/>
      <c r="J49" s="926"/>
      <c r="K49" s="933"/>
      <c r="L49" s="926"/>
      <c r="M49" s="933"/>
      <c r="N49" s="926"/>
      <c r="O49" s="933"/>
      <c r="P49" s="926"/>
      <c r="Q49" s="933"/>
      <c r="R49" s="926"/>
      <c r="S49" s="933"/>
      <c r="T49" s="926"/>
      <c r="U49" s="933"/>
      <c r="V49" s="926"/>
      <c r="W49" s="933"/>
      <c r="X49" s="926"/>
      <c r="Y49" s="933"/>
      <c r="Z49" s="926"/>
      <c r="AA49" s="933"/>
      <c r="AB49" s="926"/>
      <c r="AC49" s="933"/>
      <c r="AD49" s="926"/>
      <c r="AE49" s="933"/>
      <c r="AF49" s="926"/>
      <c r="AG49" s="933"/>
      <c r="AH49" s="926"/>
      <c r="AI49" s="933"/>
      <c r="AJ49" s="926"/>
      <c r="AK49" s="933"/>
      <c r="AL49" s="926"/>
      <c r="AM49" s="933"/>
      <c r="AN49" s="926"/>
      <c r="AO49" s="933"/>
      <c r="AP49" s="926"/>
      <c r="AQ49" s="933"/>
      <c r="AR49" s="926"/>
      <c r="AS49" s="813"/>
      <c r="AT49" s="926"/>
    </row>
    <row r="50" spans="1:46">
      <c r="A50" s="122" t="s">
        <v>49</v>
      </c>
      <c r="B50" s="123" t="s">
        <v>50</v>
      </c>
      <c r="C50" s="582">
        <v>5197.9399999999996</v>
      </c>
      <c r="D50" s="932">
        <v>0</v>
      </c>
      <c r="E50" s="582">
        <v>5197.9399999999996</v>
      </c>
      <c r="F50" s="932">
        <v>0</v>
      </c>
      <c r="G50" s="582">
        <v>5197.9399999999996</v>
      </c>
      <c r="H50" s="932">
        <v>0</v>
      </c>
      <c r="I50" s="582">
        <v>5197.9399999999996</v>
      </c>
      <c r="J50" s="932">
        <v>0</v>
      </c>
      <c r="K50" s="582">
        <v>5197.9399999999996</v>
      </c>
      <c r="L50" s="932">
        <v>0</v>
      </c>
      <c r="M50" s="582">
        <v>5197.9399999999996</v>
      </c>
      <c r="N50" s="932">
        <v>0</v>
      </c>
      <c r="O50" s="963">
        <v>5399.57</v>
      </c>
      <c r="P50" s="932">
        <v>0</v>
      </c>
      <c r="Q50" s="963">
        <v>5850.06</v>
      </c>
      <c r="R50" s="932">
        <v>0.01</v>
      </c>
      <c r="S50" s="963">
        <v>5850.06</v>
      </c>
      <c r="T50" s="932">
        <v>0.01</v>
      </c>
      <c r="U50" s="963">
        <v>5850.06</v>
      </c>
      <c r="V50" s="932">
        <v>0.01</v>
      </c>
      <c r="W50" s="963">
        <v>6701.13</v>
      </c>
      <c r="X50" s="932">
        <v>0.01</v>
      </c>
      <c r="Y50" s="963">
        <v>6701.13</v>
      </c>
      <c r="Z50" s="932">
        <v>0.01</v>
      </c>
      <c r="AA50" s="963">
        <v>5850.06</v>
      </c>
      <c r="AB50" s="932">
        <v>0.01</v>
      </c>
      <c r="AC50" s="963">
        <v>5850.06</v>
      </c>
      <c r="AD50" s="932">
        <v>0.01</v>
      </c>
      <c r="AE50" s="963">
        <v>5850.06</v>
      </c>
      <c r="AF50" s="932">
        <v>0.01</v>
      </c>
      <c r="AG50" s="963">
        <v>5850.06</v>
      </c>
      <c r="AH50" s="932">
        <v>0</v>
      </c>
      <c r="AI50" s="963">
        <v>5850.06</v>
      </c>
      <c r="AJ50" s="932">
        <v>0</v>
      </c>
      <c r="AK50" s="963">
        <v>14060.06</v>
      </c>
      <c r="AL50" s="932">
        <v>0.02</v>
      </c>
      <c r="AM50" s="963">
        <v>14060.06</v>
      </c>
      <c r="AN50" s="932">
        <v>0.02</v>
      </c>
      <c r="AO50" s="963">
        <v>14060.06</v>
      </c>
      <c r="AP50" s="932">
        <v>0.02</v>
      </c>
      <c r="AQ50" s="963">
        <v>14060.06</v>
      </c>
      <c r="AR50" s="932">
        <v>0.02</v>
      </c>
      <c r="AS50" s="975">
        <v>4142.51</v>
      </c>
      <c r="AT50" s="932">
        <v>0</v>
      </c>
    </row>
    <row r="51" spans="1:46" ht="48" thickBot="1">
      <c r="A51" s="122" t="s">
        <v>56</v>
      </c>
      <c r="B51" s="123" t="s">
        <v>77</v>
      </c>
      <c r="C51" s="950">
        <v>1243.52</v>
      </c>
      <c r="D51" s="930"/>
      <c r="E51" s="950">
        <v>1243.52</v>
      </c>
      <c r="F51" s="930"/>
      <c r="G51" s="950">
        <v>1243.52</v>
      </c>
      <c r="H51" s="930"/>
      <c r="I51" s="950">
        <v>1243.52</v>
      </c>
      <c r="J51" s="930"/>
      <c r="K51" s="950">
        <v>1243.52</v>
      </c>
      <c r="L51" s="930"/>
      <c r="M51" s="950">
        <v>1243.52</v>
      </c>
      <c r="N51" s="930"/>
      <c r="O51" s="950">
        <v>1243.52</v>
      </c>
      <c r="P51" s="930"/>
      <c r="Q51" s="966">
        <v>6967.47</v>
      </c>
      <c r="R51" s="930">
        <v>0.01</v>
      </c>
      <c r="S51" s="966">
        <v>6967.47</v>
      </c>
      <c r="T51" s="930">
        <v>0.01</v>
      </c>
      <c r="U51" s="966">
        <v>6967.47</v>
      </c>
      <c r="V51" s="930">
        <v>0.01</v>
      </c>
      <c r="W51" s="966">
        <v>6967.47</v>
      </c>
      <c r="X51" s="930">
        <v>0.01</v>
      </c>
      <c r="Y51" s="966">
        <v>6967.47</v>
      </c>
      <c r="Z51" s="930">
        <v>0.01</v>
      </c>
      <c r="AA51" s="966">
        <v>6967.47</v>
      </c>
      <c r="AB51" s="930">
        <v>0.01</v>
      </c>
      <c r="AC51" s="966">
        <v>6967.47</v>
      </c>
      <c r="AD51" s="930">
        <v>0.01</v>
      </c>
      <c r="AE51" s="966">
        <v>6967.47</v>
      </c>
      <c r="AF51" s="930">
        <v>0.01</v>
      </c>
      <c r="AG51" s="966">
        <v>6967.47</v>
      </c>
      <c r="AH51" s="930">
        <v>0.01</v>
      </c>
      <c r="AI51" s="966">
        <v>6967.47</v>
      </c>
      <c r="AJ51" s="930">
        <v>0.01</v>
      </c>
      <c r="AK51" s="966">
        <v>6967.47</v>
      </c>
      <c r="AL51" s="930">
        <v>0.01</v>
      </c>
      <c r="AM51" s="966">
        <v>6967.47</v>
      </c>
      <c r="AN51" s="930">
        <v>0.01</v>
      </c>
      <c r="AO51" s="966">
        <v>6967.47</v>
      </c>
      <c r="AP51" s="930">
        <v>0.01</v>
      </c>
      <c r="AQ51" s="966">
        <v>6967.47</v>
      </c>
      <c r="AR51" s="930">
        <v>0.01</v>
      </c>
      <c r="AS51" s="945">
        <v>3214.12</v>
      </c>
      <c r="AT51" s="930">
        <v>0</v>
      </c>
    </row>
    <row r="52" spans="1:46" ht="78.75">
      <c r="A52" s="132" t="s">
        <v>72</v>
      </c>
      <c r="B52" s="123" t="s">
        <v>78</v>
      </c>
      <c r="C52" s="950">
        <v>2712.62</v>
      </c>
      <c r="D52" s="926">
        <v>0</v>
      </c>
      <c r="E52" s="950">
        <v>2712.62</v>
      </c>
      <c r="F52" s="926">
        <v>0</v>
      </c>
      <c r="G52" s="950">
        <v>2712.62</v>
      </c>
      <c r="H52" s="926">
        <v>0</v>
      </c>
      <c r="I52" s="950">
        <v>2712.62</v>
      </c>
      <c r="J52" s="926">
        <v>0</v>
      </c>
      <c r="K52" s="950">
        <v>2712.62</v>
      </c>
      <c r="L52" s="926">
        <v>0</v>
      </c>
      <c r="M52" s="950">
        <v>2712.62</v>
      </c>
      <c r="N52" s="926">
        <v>0</v>
      </c>
      <c r="O52" s="965">
        <v>3922.38</v>
      </c>
      <c r="P52" s="926">
        <v>0</v>
      </c>
      <c r="Q52" s="965">
        <v>3922.38</v>
      </c>
      <c r="R52" s="926">
        <v>0</v>
      </c>
      <c r="S52" s="965">
        <v>3922.38</v>
      </c>
      <c r="T52" s="926">
        <v>0</v>
      </c>
      <c r="U52" s="965">
        <v>3922.38</v>
      </c>
      <c r="V52" s="926">
        <v>0</v>
      </c>
      <c r="W52" s="965">
        <v>3922.38</v>
      </c>
      <c r="X52" s="926">
        <v>0</v>
      </c>
      <c r="Y52" s="965">
        <v>3922.38</v>
      </c>
      <c r="Z52" s="926">
        <v>0</v>
      </c>
      <c r="AA52" s="965">
        <v>3922.38</v>
      </c>
      <c r="AB52" s="926">
        <v>0</v>
      </c>
      <c r="AC52" s="965">
        <v>3922.38</v>
      </c>
      <c r="AD52" s="926">
        <v>0</v>
      </c>
      <c r="AE52" s="965">
        <v>3922.38</v>
      </c>
      <c r="AF52" s="926">
        <v>0</v>
      </c>
      <c r="AG52" s="965">
        <v>3922.38</v>
      </c>
      <c r="AH52" s="926">
        <v>0</v>
      </c>
      <c r="AI52" s="965">
        <v>3922.38</v>
      </c>
      <c r="AJ52" s="926">
        <v>0</v>
      </c>
      <c r="AK52" s="965">
        <v>3922.38</v>
      </c>
      <c r="AL52" s="926">
        <v>0</v>
      </c>
      <c r="AM52" s="965">
        <v>3922.38</v>
      </c>
      <c r="AN52" s="926">
        <v>0</v>
      </c>
      <c r="AO52" s="965">
        <v>3922.38</v>
      </c>
      <c r="AP52" s="926">
        <v>0</v>
      </c>
      <c r="AQ52" s="965">
        <v>3922.38</v>
      </c>
      <c r="AR52" s="926">
        <v>0</v>
      </c>
      <c r="AS52" s="965">
        <v>2595.87</v>
      </c>
      <c r="AT52" s="926">
        <v>0</v>
      </c>
    </row>
    <row r="53" spans="1:46" ht="31.5">
      <c r="A53" s="132" t="s">
        <v>51</v>
      </c>
      <c r="B53" s="123" t="s">
        <v>52</v>
      </c>
      <c r="C53" s="838">
        <v>19191.239999999998</v>
      </c>
      <c r="D53" s="934">
        <v>0.02</v>
      </c>
      <c r="E53" s="838">
        <v>19191.239999999998</v>
      </c>
      <c r="F53" s="934">
        <v>0.02</v>
      </c>
      <c r="G53" s="838">
        <v>19191.239999999998</v>
      </c>
      <c r="H53" s="934">
        <v>0.02</v>
      </c>
      <c r="I53" s="838">
        <v>19191.239999999998</v>
      </c>
      <c r="J53" s="934">
        <v>0.02</v>
      </c>
      <c r="K53" s="838">
        <v>19191.239999999998</v>
      </c>
      <c r="L53" s="934">
        <v>0.02</v>
      </c>
      <c r="M53" s="838">
        <v>19191.239999999998</v>
      </c>
      <c r="N53" s="934">
        <v>0.02</v>
      </c>
      <c r="O53" s="934"/>
      <c r="P53" s="934"/>
      <c r="Q53" s="934"/>
      <c r="R53" s="934"/>
      <c r="S53" s="934"/>
      <c r="T53" s="934"/>
      <c r="U53" s="934"/>
      <c r="V53" s="934"/>
      <c r="W53" s="934"/>
      <c r="X53" s="934"/>
      <c r="Y53" s="934"/>
      <c r="Z53" s="934"/>
      <c r="AA53" s="934"/>
      <c r="AB53" s="934"/>
      <c r="AC53" s="934"/>
      <c r="AD53" s="934"/>
      <c r="AE53" s="934"/>
      <c r="AF53" s="934"/>
      <c r="AG53" s="934"/>
      <c r="AH53" s="934"/>
      <c r="AI53" s="934"/>
      <c r="AJ53" s="934"/>
      <c r="AK53" s="934"/>
      <c r="AL53" s="934"/>
      <c r="AM53" s="934"/>
      <c r="AN53" s="934"/>
      <c r="AO53" s="934"/>
      <c r="AP53" s="934"/>
      <c r="AQ53" s="934"/>
      <c r="AR53" s="934"/>
      <c r="AS53" s="976">
        <v>18971.510000000002</v>
      </c>
      <c r="AT53" s="935">
        <v>0.02</v>
      </c>
    </row>
    <row r="54" spans="1:46" ht="15">
      <c r="A54" s="1049" t="s">
        <v>127</v>
      </c>
      <c r="B54" s="1050"/>
      <c r="C54" s="838">
        <v>79419.67</v>
      </c>
      <c r="D54" s="935">
        <v>0.08</v>
      </c>
      <c r="E54" s="838">
        <v>79419.67</v>
      </c>
      <c r="F54" s="935">
        <v>0.08</v>
      </c>
      <c r="G54" s="838">
        <v>79419.67</v>
      </c>
      <c r="H54" s="935">
        <v>0.08</v>
      </c>
      <c r="I54" s="838">
        <v>79419.67</v>
      </c>
      <c r="J54" s="935">
        <v>0.08</v>
      </c>
      <c r="K54" s="838">
        <v>79419.67</v>
      </c>
      <c r="L54" s="935">
        <v>0.08</v>
      </c>
      <c r="M54" s="838">
        <v>79419.67</v>
      </c>
      <c r="N54" s="935">
        <v>0.08</v>
      </c>
      <c r="O54" s="884">
        <v>79419.67</v>
      </c>
      <c r="P54" s="935">
        <v>0.08</v>
      </c>
      <c r="Q54" s="884">
        <v>79419.67</v>
      </c>
      <c r="R54" s="935">
        <v>0.08</v>
      </c>
      <c r="S54" s="884">
        <v>79419.67</v>
      </c>
      <c r="T54" s="935">
        <v>0.08</v>
      </c>
      <c r="U54" s="884">
        <v>79419.67</v>
      </c>
      <c r="V54" s="935">
        <v>0.08</v>
      </c>
      <c r="W54" s="884">
        <v>79419.67</v>
      </c>
      <c r="X54" s="935">
        <v>0.08</v>
      </c>
      <c r="Y54" s="884">
        <v>79419.67</v>
      </c>
      <c r="Z54" s="935">
        <v>0.08</v>
      </c>
      <c r="AA54" s="884">
        <v>79419.67</v>
      </c>
      <c r="AB54" s="935">
        <v>0.08</v>
      </c>
      <c r="AC54" s="884">
        <v>79419.67</v>
      </c>
      <c r="AD54" s="935">
        <v>0.08</v>
      </c>
      <c r="AE54" s="884">
        <v>79419.67</v>
      </c>
      <c r="AF54" s="935">
        <v>0.08</v>
      </c>
      <c r="AG54" s="884">
        <v>79419.67</v>
      </c>
      <c r="AH54" s="935">
        <v>0.08</v>
      </c>
      <c r="AI54" s="884">
        <v>79419.67</v>
      </c>
      <c r="AJ54" s="935">
        <v>0.08</v>
      </c>
      <c r="AK54" s="884">
        <v>79419.67</v>
      </c>
      <c r="AL54" s="935">
        <v>0.08</v>
      </c>
      <c r="AM54" s="884">
        <v>79419.67</v>
      </c>
      <c r="AN54" s="935">
        <v>0.08</v>
      </c>
      <c r="AO54" s="934"/>
      <c r="AP54" s="934"/>
      <c r="AQ54" s="934"/>
      <c r="AR54" s="934"/>
      <c r="AS54" s="976">
        <v>76416.89</v>
      </c>
      <c r="AT54" s="935">
        <v>7.0000000000000007E-2</v>
      </c>
    </row>
    <row r="55" spans="1:46" ht="31.5">
      <c r="A55" s="133" t="s">
        <v>73</v>
      </c>
      <c r="B55" s="134" t="s">
        <v>53</v>
      </c>
      <c r="C55" s="934"/>
      <c r="D55" s="934"/>
      <c r="E55" s="934"/>
      <c r="F55" s="934"/>
      <c r="G55" s="934"/>
      <c r="H55" s="934"/>
      <c r="I55" s="934"/>
      <c r="J55" s="934"/>
      <c r="K55" s="934"/>
      <c r="L55" s="934"/>
      <c r="M55" s="934"/>
      <c r="N55" s="934"/>
      <c r="O55" s="934"/>
      <c r="P55" s="934"/>
      <c r="Q55" s="934"/>
      <c r="R55" s="934"/>
      <c r="S55" s="934"/>
      <c r="T55" s="934"/>
      <c r="U55" s="934"/>
      <c r="V55" s="934"/>
      <c r="W55" s="934"/>
      <c r="X55" s="934"/>
      <c r="Y55" s="934"/>
      <c r="Z55" s="934"/>
      <c r="AA55" s="934"/>
      <c r="AB55" s="934"/>
      <c r="AC55" s="934"/>
      <c r="AD55" s="934"/>
      <c r="AE55" s="934"/>
      <c r="AF55" s="934"/>
      <c r="AG55" s="934"/>
      <c r="AH55" s="934"/>
      <c r="AI55" s="934"/>
      <c r="AJ55" s="934"/>
      <c r="AK55" s="934"/>
      <c r="AL55" s="934"/>
      <c r="AM55" s="934"/>
      <c r="AN55" s="934"/>
      <c r="AO55" s="934"/>
      <c r="AP55" s="934"/>
      <c r="AQ55" s="934"/>
      <c r="AR55" s="934"/>
      <c r="AS55" s="829"/>
      <c r="AT55" s="934"/>
    </row>
    <row r="56" spans="1:46" ht="31.5">
      <c r="A56" s="122" t="s">
        <v>54</v>
      </c>
      <c r="B56" s="123" t="s">
        <v>79</v>
      </c>
      <c r="C56" s="950">
        <v>2195.5</v>
      </c>
      <c r="D56" s="934"/>
      <c r="E56" s="950">
        <v>2195.5</v>
      </c>
      <c r="F56" s="934"/>
      <c r="G56" s="950">
        <v>2195.5</v>
      </c>
      <c r="H56" s="934"/>
      <c r="I56" s="950">
        <v>2195.5</v>
      </c>
      <c r="J56" s="934"/>
      <c r="K56" s="950">
        <v>2195.5</v>
      </c>
      <c r="L56" s="934"/>
      <c r="M56" s="950">
        <v>2195.5</v>
      </c>
      <c r="N56" s="934"/>
      <c r="O56" s="950">
        <v>2195.5</v>
      </c>
      <c r="P56" s="934"/>
      <c r="Q56" s="950">
        <v>2195.5</v>
      </c>
      <c r="R56" s="934"/>
      <c r="S56" s="950">
        <v>2195.5</v>
      </c>
      <c r="T56" s="934"/>
      <c r="U56" s="950">
        <v>2195.5</v>
      </c>
      <c r="V56" s="934"/>
      <c r="W56" s="934"/>
      <c r="X56" s="934"/>
      <c r="Y56" s="934"/>
      <c r="Z56" s="934"/>
      <c r="AA56" s="934"/>
      <c r="AB56" s="934"/>
      <c r="AC56" s="934"/>
      <c r="AD56" s="934"/>
      <c r="AE56" s="934"/>
      <c r="AF56" s="934"/>
      <c r="AG56" s="934"/>
      <c r="AH56" s="934"/>
      <c r="AI56" s="934"/>
      <c r="AJ56" s="934"/>
      <c r="AK56" s="934"/>
      <c r="AL56" s="934"/>
      <c r="AM56" s="934"/>
      <c r="AN56" s="934"/>
      <c r="AO56" s="934"/>
      <c r="AP56" s="934"/>
      <c r="AQ56" s="934"/>
      <c r="AR56" s="934"/>
      <c r="AS56" s="977">
        <v>2284.0100000000002</v>
      </c>
      <c r="AT56" s="934"/>
    </row>
    <row r="57" spans="1:46" ht="32.25" thickBot="1">
      <c r="A57" s="135" t="s">
        <v>55</v>
      </c>
      <c r="B57" s="223" t="s">
        <v>80</v>
      </c>
      <c r="C57" s="951">
        <v>860.78</v>
      </c>
      <c r="D57" s="934"/>
      <c r="E57" s="951">
        <v>860.78</v>
      </c>
      <c r="F57" s="934"/>
      <c r="G57" s="951">
        <v>860.78</v>
      </c>
      <c r="H57" s="934"/>
      <c r="I57" s="951">
        <v>860.78</v>
      </c>
      <c r="J57" s="934"/>
      <c r="K57" s="951">
        <v>860.78</v>
      </c>
      <c r="L57" s="934"/>
      <c r="M57" s="951">
        <v>860.78</v>
      </c>
      <c r="N57" s="934"/>
      <c r="O57" s="951">
        <v>860.78</v>
      </c>
      <c r="P57" s="934"/>
      <c r="Q57" s="951">
        <v>860.78</v>
      </c>
      <c r="R57" s="934"/>
      <c r="S57" s="934"/>
      <c r="T57" s="934"/>
      <c r="U57" s="934"/>
      <c r="V57" s="934"/>
      <c r="W57" s="934"/>
      <c r="X57" s="934"/>
      <c r="Y57" s="934"/>
      <c r="Z57" s="934"/>
      <c r="AA57" s="934"/>
      <c r="AB57" s="934"/>
      <c r="AC57" s="934"/>
      <c r="AD57" s="934"/>
      <c r="AE57" s="934"/>
      <c r="AF57" s="934"/>
      <c r="AG57" s="934"/>
      <c r="AH57" s="934"/>
      <c r="AI57" s="934"/>
      <c r="AJ57" s="934"/>
      <c r="AK57" s="934"/>
      <c r="AL57" s="934"/>
      <c r="AM57" s="934"/>
      <c r="AN57" s="934"/>
      <c r="AO57" s="934"/>
      <c r="AP57" s="934"/>
      <c r="AQ57" s="934"/>
      <c r="AR57" s="934"/>
      <c r="AS57" s="830">
        <v>860.78</v>
      </c>
      <c r="AT57" s="934"/>
    </row>
    <row r="58" spans="1:46" ht="16.5" thickBot="1">
      <c r="A58" s="221" t="s">
        <v>99</v>
      </c>
      <c r="B58" s="222"/>
      <c r="C58" s="934"/>
      <c r="D58" s="934"/>
      <c r="E58" s="934"/>
      <c r="F58" s="934"/>
      <c r="G58" s="934"/>
      <c r="H58" s="934"/>
      <c r="I58" s="934"/>
      <c r="J58" s="934"/>
      <c r="K58" s="934"/>
      <c r="L58" s="934"/>
      <c r="M58" s="934"/>
      <c r="N58" s="934"/>
      <c r="O58" s="934"/>
      <c r="P58" s="934"/>
      <c r="Q58" s="934"/>
      <c r="R58" s="934"/>
      <c r="S58" s="934"/>
      <c r="T58" s="934"/>
      <c r="U58" s="934"/>
      <c r="V58" s="934"/>
      <c r="W58" s="934"/>
      <c r="X58" s="934"/>
      <c r="Y58" s="934"/>
      <c r="Z58" s="934"/>
      <c r="AA58" s="934"/>
      <c r="AB58" s="934"/>
      <c r="AC58" s="934"/>
      <c r="AD58" s="934"/>
      <c r="AE58" s="934"/>
      <c r="AF58" s="934"/>
      <c r="AG58" s="934"/>
      <c r="AH58" s="934"/>
      <c r="AI58" s="934"/>
      <c r="AJ58" s="934"/>
      <c r="AK58" s="934"/>
      <c r="AL58" s="934"/>
      <c r="AM58" s="934"/>
      <c r="AN58" s="934"/>
      <c r="AO58" s="934"/>
      <c r="AP58" s="934"/>
      <c r="AQ58" s="934"/>
      <c r="AR58" s="934"/>
      <c r="AS58" s="934"/>
      <c r="AT58" s="934"/>
    </row>
    <row r="59" spans="1:46" ht="15">
      <c r="A59" s="1045" t="s">
        <v>103</v>
      </c>
      <c r="B59" s="1046" t="s">
        <v>103</v>
      </c>
      <c r="C59" s="473">
        <v>1431.16</v>
      </c>
      <c r="D59" s="936">
        <v>0</v>
      </c>
      <c r="E59" s="473">
        <v>2862.33</v>
      </c>
      <c r="F59" s="936">
        <v>0</v>
      </c>
      <c r="G59" s="473">
        <v>4293.49</v>
      </c>
      <c r="H59" s="936">
        <v>0</v>
      </c>
      <c r="I59" s="473">
        <v>5724.66</v>
      </c>
      <c r="J59" s="936">
        <v>0.01</v>
      </c>
      <c r="K59" s="473">
        <v>7155.82</v>
      </c>
      <c r="L59" s="936">
        <v>0.01</v>
      </c>
      <c r="M59" s="473">
        <v>11449.32</v>
      </c>
      <c r="N59" s="936">
        <v>0.01</v>
      </c>
      <c r="O59" s="511">
        <v>12880.48</v>
      </c>
      <c r="P59" s="936">
        <v>0.01</v>
      </c>
      <c r="Q59" s="473">
        <v>14311.64</v>
      </c>
      <c r="R59" s="936">
        <v>0.01</v>
      </c>
      <c r="S59" s="473">
        <v>15742.81</v>
      </c>
      <c r="T59" s="936">
        <v>0.01</v>
      </c>
      <c r="U59" s="473">
        <v>17173.97</v>
      </c>
      <c r="V59" s="936">
        <v>0.01</v>
      </c>
      <c r="W59" s="473">
        <v>21467.47</v>
      </c>
      <c r="X59" s="936">
        <v>0.01</v>
      </c>
      <c r="Y59" s="473">
        <v>22898.63</v>
      </c>
      <c r="Z59" s="936">
        <v>0.02</v>
      </c>
      <c r="AA59" s="473">
        <v>24329.79</v>
      </c>
      <c r="AB59" s="936">
        <v>0.02</v>
      </c>
      <c r="AC59" s="473">
        <v>25760.959999999999</v>
      </c>
      <c r="AD59" s="936">
        <v>0.02</v>
      </c>
      <c r="AE59" s="473">
        <v>27192.12</v>
      </c>
      <c r="AF59" s="936">
        <v>0.02</v>
      </c>
      <c r="AG59" s="473">
        <v>31485.62</v>
      </c>
      <c r="AH59" s="936">
        <v>0.03</v>
      </c>
      <c r="AI59" s="473">
        <v>32916.78</v>
      </c>
      <c r="AJ59" s="936">
        <v>0.03</v>
      </c>
      <c r="AK59" s="473">
        <v>34347.949999999997</v>
      </c>
      <c r="AL59" s="936">
        <v>0.03</v>
      </c>
      <c r="AM59" s="473">
        <v>35779.11</v>
      </c>
      <c r="AN59" s="936">
        <v>0.03</v>
      </c>
      <c r="AO59" s="473">
        <v>37210.269999999997</v>
      </c>
      <c r="AP59" s="936">
        <v>0.03</v>
      </c>
      <c r="AQ59" s="473">
        <v>41503.769999999997</v>
      </c>
      <c r="AR59" s="936">
        <v>0.03</v>
      </c>
      <c r="AS59" s="511">
        <v>42934.93</v>
      </c>
      <c r="AT59" s="936">
        <v>0.04</v>
      </c>
    </row>
    <row r="60" spans="1:46" ht="15">
      <c r="A60" s="785"/>
      <c r="B60" s="786"/>
      <c r="C60" s="473">
        <v>858.7</v>
      </c>
      <c r="D60" s="936">
        <v>0</v>
      </c>
      <c r="E60" s="473">
        <v>1717.4</v>
      </c>
      <c r="F60" s="936">
        <v>0</v>
      </c>
      <c r="G60" s="473">
        <v>2576.1</v>
      </c>
      <c r="H60" s="936">
        <v>0</v>
      </c>
      <c r="I60" s="473">
        <v>3434.79</v>
      </c>
      <c r="J60" s="936">
        <v>0</v>
      </c>
      <c r="K60" s="473">
        <v>4293.49</v>
      </c>
      <c r="L60" s="936">
        <v>0</v>
      </c>
      <c r="M60" s="473">
        <v>6869.59</v>
      </c>
      <c r="N60" s="936">
        <v>0.01</v>
      </c>
      <c r="O60" s="511">
        <v>7728.29</v>
      </c>
      <c r="P60" s="936">
        <v>0.01</v>
      </c>
      <c r="Q60" s="473">
        <v>8586.99</v>
      </c>
      <c r="R60" s="936">
        <v>0.01</v>
      </c>
      <c r="S60" s="473">
        <v>9445.68</v>
      </c>
      <c r="T60" s="936">
        <v>0.01</v>
      </c>
      <c r="U60" s="473">
        <v>10304.379999999999</v>
      </c>
      <c r="V60" s="936">
        <v>0.01</v>
      </c>
      <c r="W60" s="473">
        <v>12880.48</v>
      </c>
      <c r="X60" s="936">
        <v>0.01</v>
      </c>
      <c r="Y60" s="473">
        <v>13739.18</v>
      </c>
      <c r="Z60" s="936">
        <v>0.01</v>
      </c>
      <c r="AA60" s="473">
        <v>14597.88</v>
      </c>
      <c r="AB60" s="936">
        <v>0.01</v>
      </c>
      <c r="AC60" s="473">
        <v>15456.58</v>
      </c>
      <c r="AD60" s="936">
        <v>0.01</v>
      </c>
      <c r="AE60" s="473">
        <v>16315.27</v>
      </c>
      <c r="AF60" s="936">
        <v>0.01</v>
      </c>
      <c r="AG60" s="473">
        <v>18891.37</v>
      </c>
      <c r="AH60" s="936">
        <v>0.01</v>
      </c>
      <c r="AI60" s="473">
        <v>19750.07</v>
      </c>
      <c r="AJ60" s="936">
        <v>0.01</v>
      </c>
      <c r="AK60" s="473">
        <v>20608.77</v>
      </c>
      <c r="AL60" s="936">
        <v>0.01</v>
      </c>
      <c r="AM60" s="473">
        <v>21467.47</v>
      </c>
      <c r="AN60" s="936">
        <v>0.01</v>
      </c>
      <c r="AO60" s="473">
        <v>22326.16</v>
      </c>
      <c r="AP60" s="936">
        <v>0.01</v>
      </c>
      <c r="AQ60" s="473">
        <v>24902.26</v>
      </c>
      <c r="AR60" s="936">
        <v>0.01</v>
      </c>
      <c r="AS60" s="511">
        <v>25760.959999999999</v>
      </c>
      <c r="AT60" s="936">
        <v>0.02</v>
      </c>
    </row>
    <row r="61" spans="1:46" ht="15" customHeight="1">
      <c r="A61" s="948" t="s">
        <v>95</v>
      </c>
      <c r="B61" s="949" t="s">
        <v>95</v>
      </c>
      <c r="C61" s="536">
        <v>1669.69</v>
      </c>
      <c r="D61" s="936">
        <v>0</v>
      </c>
      <c r="E61" s="536">
        <v>3339.38</v>
      </c>
      <c r="F61" s="936">
        <v>0</v>
      </c>
      <c r="G61" s="536">
        <v>5009.08</v>
      </c>
      <c r="H61" s="936">
        <v>0</v>
      </c>
      <c r="I61" s="536">
        <v>6678.77</v>
      </c>
      <c r="J61" s="936">
        <v>0.01</v>
      </c>
      <c r="K61" s="536">
        <v>8348.4599999999991</v>
      </c>
      <c r="L61" s="936">
        <v>0.01</v>
      </c>
      <c r="M61" s="552">
        <v>1771.92</v>
      </c>
      <c r="N61" s="936">
        <v>0</v>
      </c>
      <c r="O61" s="511">
        <v>3543.84</v>
      </c>
      <c r="P61" s="936">
        <v>0</v>
      </c>
      <c r="Q61" s="536">
        <v>5315.75</v>
      </c>
      <c r="R61" s="936">
        <v>0</v>
      </c>
      <c r="S61" s="536">
        <v>7087.67</v>
      </c>
      <c r="T61" s="936">
        <v>0.01</v>
      </c>
      <c r="U61" s="536">
        <v>8859.59</v>
      </c>
      <c r="V61" s="936">
        <v>0.01</v>
      </c>
      <c r="W61" s="536">
        <v>14175.34</v>
      </c>
      <c r="X61" s="936">
        <v>0.01</v>
      </c>
      <c r="Y61" s="536">
        <v>15947.26</v>
      </c>
      <c r="Z61" s="936">
        <v>0.01</v>
      </c>
      <c r="AA61" s="536">
        <v>17719.18</v>
      </c>
      <c r="AB61" s="936">
        <v>0.02</v>
      </c>
      <c r="AC61" s="536">
        <v>19491.099999999999</v>
      </c>
      <c r="AD61" s="936">
        <v>0.02</v>
      </c>
      <c r="AE61" s="536">
        <v>21263.01</v>
      </c>
      <c r="AF61" s="936">
        <v>0.02</v>
      </c>
      <c r="AG61" s="536">
        <v>26578.77</v>
      </c>
      <c r="AH61" s="936">
        <v>1.9999999999999997E-2</v>
      </c>
      <c r="AI61" s="536">
        <v>28350.68</v>
      </c>
      <c r="AJ61" s="936">
        <v>1.9999999999999997E-2</v>
      </c>
      <c r="AK61" s="536">
        <v>30122.6</v>
      </c>
      <c r="AL61" s="936">
        <v>1.9999999999999997E-2</v>
      </c>
      <c r="AM61" s="536">
        <v>31894.52</v>
      </c>
      <c r="AN61" s="936">
        <v>1.9999999999999997E-2</v>
      </c>
      <c r="AO61" s="536">
        <v>33666.44</v>
      </c>
      <c r="AP61" s="936">
        <v>1.9999999999999997E-2</v>
      </c>
      <c r="AQ61" s="536">
        <v>38982.19</v>
      </c>
      <c r="AR61" s="936">
        <v>1.9999999999999997E-2</v>
      </c>
      <c r="AS61" s="511">
        <v>40754.11</v>
      </c>
      <c r="AT61" s="936">
        <v>0.04</v>
      </c>
    </row>
    <row r="62" spans="1:46" ht="15" customHeight="1">
      <c r="A62" s="948"/>
      <c r="B62" s="949" t="s">
        <v>95</v>
      </c>
      <c r="C62" s="536">
        <v>531.58000000000004</v>
      </c>
      <c r="D62" s="936">
        <v>0</v>
      </c>
      <c r="E62" s="536">
        <v>1063.1500000000001</v>
      </c>
      <c r="F62" s="936">
        <v>0</v>
      </c>
      <c r="G62" s="536">
        <v>1594.73</v>
      </c>
      <c r="H62" s="936">
        <v>0</v>
      </c>
      <c r="I62" s="536">
        <v>2126.3000000000002</v>
      </c>
      <c r="J62" s="936">
        <v>0</v>
      </c>
      <c r="K62" s="536">
        <v>2657.88</v>
      </c>
      <c r="L62" s="936">
        <v>0</v>
      </c>
      <c r="M62" s="536">
        <v>4252.6000000000004</v>
      </c>
      <c r="N62" s="936">
        <v>0</v>
      </c>
      <c r="O62" s="511">
        <v>4784.18</v>
      </c>
      <c r="P62" s="936">
        <v>0.01</v>
      </c>
      <c r="Q62" s="536">
        <v>5315.75</v>
      </c>
      <c r="R62" s="936">
        <v>0</v>
      </c>
      <c r="S62" s="536">
        <v>5847.33</v>
      </c>
      <c r="T62" s="936">
        <v>0.01</v>
      </c>
      <c r="U62" s="536">
        <v>6378.9</v>
      </c>
      <c r="V62" s="936">
        <v>0.01</v>
      </c>
      <c r="W62" s="536">
        <v>7973.63</v>
      </c>
      <c r="X62" s="936">
        <v>0.01</v>
      </c>
      <c r="Y62" s="536">
        <v>8505.2099999999991</v>
      </c>
      <c r="Z62" s="936">
        <v>0.01</v>
      </c>
      <c r="AA62" s="536">
        <v>9036.7800000000007</v>
      </c>
      <c r="AB62" s="936">
        <v>0.01</v>
      </c>
      <c r="AC62" s="536">
        <v>9568.36</v>
      </c>
      <c r="AD62" s="936">
        <v>0.01</v>
      </c>
      <c r="AE62" s="536">
        <v>10099.93</v>
      </c>
      <c r="AF62" s="936">
        <v>0.01</v>
      </c>
      <c r="AG62" s="536">
        <v>11694.66</v>
      </c>
      <c r="AH62" s="936">
        <v>0.01</v>
      </c>
      <c r="AI62" s="536">
        <v>12226.23</v>
      </c>
      <c r="AJ62" s="936">
        <v>0.01</v>
      </c>
      <c r="AK62" s="536">
        <v>12757.81</v>
      </c>
      <c r="AL62" s="936">
        <v>0.01</v>
      </c>
      <c r="AM62" s="536">
        <v>13289.38</v>
      </c>
      <c r="AN62" s="936">
        <v>0.01</v>
      </c>
      <c r="AO62" s="536">
        <v>13820.96</v>
      </c>
      <c r="AP62" s="936">
        <v>0.01</v>
      </c>
      <c r="AQ62" s="536">
        <v>15415.68</v>
      </c>
      <c r="AR62" s="936">
        <v>0.01</v>
      </c>
      <c r="AS62" s="511">
        <v>15947.26</v>
      </c>
      <c r="AT62" s="936">
        <v>0.02</v>
      </c>
    </row>
    <row r="63" spans="1:46" ht="15" customHeight="1">
      <c r="A63" s="948"/>
      <c r="B63" s="949"/>
      <c r="C63" s="536">
        <v>13902.74</v>
      </c>
      <c r="D63" s="936">
        <v>0.01</v>
      </c>
      <c r="E63" s="536">
        <v>14597.88</v>
      </c>
      <c r="F63" s="936">
        <v>0.02</v>
      </c>
      <c r="G63" s="536">
        <v>15293.01</v>
      </c>
      <c r="H63" s="936">
        <v>0.02</v>
      </c>
      <c r="I63" s="536">
        <v>15988.15</v>
      </c>
      <c r="J63" s="936">
        <v>0.02</v>
      </c>
      <c r="K63" s="536">
        <v>16683.29</v>
      </c>
      <c r="L63" s="936">
        <v>0.02</v>
      </c>
      <c r="M63" s="536">
        <v>18768.7</v>
      </c>
      <c r="N63" s="936">
        <v>0.02</v>
      </c>
      <c r="O63" s="511">
        <v>19463.84</v>
      </c>
      <c r="P63" s="936">
        <v>0.02</v>
      </c>
      <c r="Q63" s="536">
        <v>20158.97</v>
      </c>
      <c r="R63" s="936">
        <v>0.02</v>
      </c>
      <c r="S63" s="536">
        <v>20854.11</v>
      </c>
      <c r="T63" s="936">
        <v>0.02</v>
      </c>
      <c r="U63" s="536">
        <v>21549.25</v>
      </c>
      <c r="V63" s="936">
        <v>0.02</v>
      </c>
      <c r="W63" s="536">
        <v>23634.66</v>
      </c>
      <c r="X63" s="936">
        <v>0.02</v>
      </c>
      <c r="Y63" s="536">
        <v>24329.79</v>
      </c>
      <c r="Z63" s="936">
        <v>0.02</v>
      </c>
      <c r="AA63" s="536">
        <v>25024.93</v>
      </c>
      <c r="AB63" s="936">
        <v>0.02</v>
      </c>
      <c r="AC63" s="536">
        <v>25720.07</v>
      </c>
      <c r="AD63" s="936">
        <v>0.02</v>
      </c>
      <c r="AE63" s="536">
        <v>26415.21</v>
      </c>
      <c r="AF63" s="936">
        <v>0.02</v>
      </c>
      <c r="AG63" s="536">
        <v>28500.62</v>
      </c>
      <c r="AH63" s="936">
        <v>0.03</v>
      </c>
      <c r="AI63" s="536">
        <v>29195.75</v>
      </c>
      <c r="AJ63" s="936">
        <v>0.03</v>
      </c>
      <c r="AK63" s="536">
        <v>29890.89</v>
      </c>
      <c r="AL63" s="936">
        <v>0.03</v>
      </c>
      <c r="AM63" s="536">
        <v>30586.03</v>
      </c>
      <c r="AN63" s="936">
        <v>0.03</v>
      </c>
      <c r="AO63" s="536">
        <v>31281.16</v>
      </c>
      <c r="AP63" s="936">
        <v>0.03</v>
      </c>
      <c r="AQ63" s="536">
        <v>33366.58</v>
      </c>
      <c r="AR63" s="936">
        <v>0.03</v>
      </c>
      <c r="AS63" s="511">
        <v>34061.71</v>
      </c>
      <c r="AT63" s="936">
        <v>0.03</v>
      </c>
    </row>
    <row r="64" spans="1:46" ht="15" customHeight="1">
      <c r="A64" s="1040" t="s">
        <v>126</v>
      </c>
      <c r="B64" s="1041"/>
      <c r="C64" s="536">
        <v>256787.69</v>
      </c>
      <c r="D64" s="936">
        <v>0.25</v>
      </c>
      <c r="E64" s="536">
        <v>258272.01</v>
      </c>
      <c r="F64" s="936">
        <v>0.25</v>
      </c>
      <c r="G64" s="536">
        <v>259756.34</v>
      </c>
      <c r="H64" s="936">
        <v>0.25</v>
      </c>
      <c r="I64" s="536">
        <v>261240.66</v>
      </c>
      <c r="J64" s="936">
        <v>0.25</v>
      </c>
      <c r="K64" s="536">
        <v>262724.98</v>
      </c>
      <c r="L64" s="936">
        <v>0.25</v>
      </c>
      <c r="M64" s="536">
        <v>267177.95</v>
      </c>
      <c r="N64" s="936">
        <v>0.25</v>
      </c>
      <c r="O64" s="552">
        <v>0</v>
      </c>
      <c r="P64" s="936">
        <v>0</v>
      </c>
      <c r="Q64" s="536">
        <v>0</v>
      </c>
      <c r="R64" s="936">
        <v>0</v>
      </c>
      <c r="S64" s="536">
        <v>1606.99</v>
      </c>
      <c r="T64" s="936">
        <v>0</v>
      </c>
      <c r="U64" s="536">
        <v>3213.99</v>
      </c>
      <c r="V64" s="936">
        <v>0</v>
      </c>
      <c r="W64" s="536">
        <v>8034.97</v>
      </c>
      <c r="X64" s="936">
        <v>0</v>
      </c>
      <c r="Y64" s="536">
        <v>9641.9599999999991</v>
      </c>
      <c r="Z64" s="936">
        <v>0.01</v>
      </c>
      <c r="AA64" s="536">
        <v>11248.95</v>
      </c>
      <c r="AB64" s="936">
        <v>0.01</v>
      </c>
      <c r="AC64" s="536">
        <v>13391.61</v>
      </c>
      <c r="AD64" s="936">
        <v>0.01</v>
      </c>
      <c r="AE64" s="536">
        <v>15534.27</v>
      </c>
      <c r="AF64" s="936">
        <v>0.01</v>
      </c>
      <c r="AG64" s="536">
        <v>21962.240000000002</v>
      </c>
      <c r="AH64" s="936">
        <v>0.02</v>
      </c>
      <c r="AI64" s="536">
        <v>24104.9</v>
      </c>
      <c r="AJ64" s="936">
        <v>0.02</v>
      </c>
      <c r="AK64" s="536">
        <v>26247.55</v>
      </c>
      <c r="AL64" s="936">
        <v>0.02</v>
      </c>
      <c r="AM64" s="536">
        <v>28390.21</v>
      </c>
      <c r="AN64" s="936">
        <v>0.02</v>
      </c>
      <c r="AO64" s="536">
        <v>30532.87</v>
      </c>
      <c r="AP64" s="936">
        <v>0.02</v>
      </c>
      <c r="AQ64" s="536">
        <v>36960.839999999997</v>
      </c>
      <c r="AR64" s="936">
        <v>0.02</v>
      </c>
      <c r="AS64" s="536">
        <v>38567.83</v>
      </c>
      <c r="AT64" s="936">
        <v>0.04</v>
      </c>
    </row>
    <row r="65" spans="1:46" ht="15" customHeight="1">
      <c r="A65" s="1040" t="s">
        <v>126</v>
      </c>
      <c r="B65" s="1041"/>
      <c r="C65" s="536">
        <v>2044.52</v>
      </c>
      <c r="D65" s="936">
        <v>0</v>
      </c>
      <c r="E65" s="536">
        <v>2385.27</v>
      </c>
      <c r="F65" s="936">
        <v>0</v>
      </c>
      <c r="G65" s="536">
        <v>2726.03</v>
      </c>
      <c r="H65" s="936">
        <v>0</v>
      </c>
      <c r="I65" s="536">
        <v>3066.78</v>
      </c>
      <c r="J65" s="936">
        <v>0</v>
      </c>
      <c r="K65" s="536">
        <v>3407.53</v>
      </c>
      <c r="L65" s="936">
        <v>0</v>
      </c>
      <c r="M65" s="536">
        <v>4429.79</v>
      </c>
      <c r="N65" s="936">
        <v>0</v>
      </c>
      <c r="O65" s="511">
        <v>4770.55</v>
      </c>
      <c r="P65" s="936">
        <v>0</v>
      </c>
      <c r="Q65" s="536">
        <v>5111.3</v>
      </c>
      <c r="R65" s="936">
        <v>0</v>
      </c>
      <c r="S65" s="536">
        <v>5452.05</v>
      </c>
      <c r="T65" s="936">
        <v>0.01</v>
      </c>
      <c r="U65" s="536">
        <v>5792.81</v>
      </c>
      <c r="V65" s="936">
        <v>0.01</v>
      </c>
      <c r="W65" s="536">
        <v>6815.07</v>
      </c>
      <c r="X65" s="936">
        <v>0.01</v>
      </c>
      <c r="Y65" s="536">
        <v>7155.82</v>
      </c>
      <c r="Z65" s="936">
        <v>0.01</v>
      </c>
      <c r="AA65" s="536">
        <v>7496.58</v>
      </c>
      <c r="AB65" s="936">
        <v>0.01</v>
      </c>
      <c r="AC65" s="536">
        <v>7837.33</v>
      </c>
      <c r="AD65" s="936">
        <v>0.01</v>
      </c>
      <c r="AE65" s="536">
        <v>8178.08</v>
      </c>
      <c r="AF65" s="936">
        <v>0.01</v>
      </c>
      <c r="AG65" s="536">
        <v>9200.34</v>
      </c>
      <c r="AH65" s="936">
        <v>0.01</v>
      </c>
      <c r="AI65" s="536">
        <v>9541.1</v>
      </c>
      <c r="AJ65" s="936">
        <v>0.01</v>
      </c>
      <c r="AK65" s="536">
        <v>9881.85</v>
      </c>
      <c r="AL65" s="936">
        <v>0.01</v>
      </c>
      <c r="AM65" s="536">
        <v>10222.6</v>
      </c>
      <c r="AN65" s="936">
        <v>0.01</v>
      </c>
      <c r="AO65" s="536">
        <v>10563.36</v>
      </c>
      <c r="AP65" s="936">
        <v>0.01</v>
      </c>
      <c r="AQ65" s="536">
        <v>1022.26</v>
      </c>
      <c r="AR65" s="936">
        <v>0.01</v>
      </c>
      <c r="AS65" s="536">
        <v>1363.01</v>
      </c>
      <c r="AT65" s="936">
        <v>0</v>
      </c>
    </row>
    <row r="66" spans="1:46" ht="15">
      <c r="A66" s="783"/>
      <c r="B66" s="784"/>
      <c r="C66" s="536">
        <v>25352.05</v>
      </c>
      <c r="D66" s="936">
        <v>0.03</v>
      </c>
      <c r="E66" s="536">
        <v>25690.080000000002</v>
      </c>
      <c r="F66" s="936">
        <v>0.03</v>
      </c>
      <c r="G66" s="536">
        <v>26028.11</v>
      </c>
      <c r="H66" s="936">
        <v>0.03</v>
      </c>
      <c r="I66" s="536">
        <v>26366.14</v>
      </c>
      <c r="J66" s="936">
        <v>0.03</v>
      </c>
      <c r="K66" s="536">
        <v>26704.16</v>
      </c>
      <c r="L66" s="936">
        <v>0.03</v>
      </c>
      <c r="M66" s="536">
        <v>27718.25</v>
      </c>
      <c r="N66" s="936">
        <v>0.03</v>
      </c>
      <c r="O66" s="511">
        <v>28056.27</v>
      </c>
      <c r="P66" s="936">
        <v>0.03</v>
      </c>
      <c r="Q66" s="536">
        <v>28394.3</v>
      </c>
      <c r="R66" s="936">
        <v>0.03</v>
      </c>
      <c r="S66" s="536">
        <v>28732.33</v>
      </c>
      <c r="T66" s="936">
        <v>0.03</v>
      </c>
      <c r="U66" s="536">
        <v>29070.36</v>
      </c>
      <c r="V66" s="936">
        <v>0.03</v>
      </c>
      <c r="W66" s="536">
        <v>30084.44</v>
      </c>
      <c r="X66" s="936">
        <v>0.03</v>
      </c>
      <c r="Y66" s="536">
        <v>30422.47</v>
      </c>
      <c r="Z66" s="936">
        <v>0.03</v>
      </c>
      <c r="AA66" s="536">
        <v>0</v>
      </c>
      <c r="AB66" s="936">
        <v>0</v>
      </c>
      <c r="AC66" s="536">
        <v>0</v>
      </c>
      <c r="AD66" s="936">
        <v>0</v>
      </c>
      <c r="AE66" s="536"/>
      <c r="AF66" s="936"/>
      <c r="AG66" s="936"/>
      <c r="AH66" s="936"/>
      <c r="AI66" s="936"/>
      <c r="AJ66" s="936"/>
      <c r="AK66" s="936"/>
      <c r="AL66" s="936"/>
      <c r="AM66" s="936"/>
      <c r="AN66" s="936"/>
      <c r="AO66" s="936"/>
      <c r="AP66" s="936"/>
      <c r="AQ66" s="936"/>
      <c r="AR66" s="936"/>
      <c r="AS66" s="974"/>
      <c r="AT66" s="974"/>
    </row>
    <row r="67" spans="1:46" ht="15">
      <c r="A67" s="783"/>
      <c r="B67" s="784"/>
      <c r="C67" s="536">
        <v>17577.419999999998</v>
      </c>
      <c r="D67" s="936">
        <v>0.02</v>
      </c>
      <c r="E67" s="536">
        <v>18253.48</v>
      </c>
      <c r="F67" s="936">
        <v>0.02</v>
      </c>
      <c r="G67" s="536">
        <v>18929.53</v>
      </c>
      <c r="H67" s="936">
        <v>0.02</v>
      </c>
      <c r="I67" s="536">
        <v>19605.59</v>
      </c>
      <c r="J67" s="936">
        <v>0.02</v>
      </c>
      <c r="K67" s="536">
        <v>20281.64</v>
      </c>
      <c r="L67" s="936">
        <v>0.02</v>
      </c>
      <c r="M67" s="536">
        <v>22309.81</v>
      </c>
      <c r="N67" s="936">
        <v>0.02</v>
      </c>
      <c r="O67" s="511">
        <v>22985.86</v>
      </c>
      <c r="P67" s="936">
        <v>0.02</v>
      </c>
      <c r="Q67" s="536">
        <v>23661.919999999998</v>
      </c>
      <c r="R67" s="936">
        <v>0.02</v>
      </c>
      <c r="S67" s="536">
        <v>24337.97</v>
      </c>
      <c r="T67" s="936">
        <v>0.02</v>
      </c>
      <c r="U67" s="536">
        <v>25014.03</v>
      </c>
      <c r="V67" s="936">
        <v>0.02</v>
      </c>
      <c r="W67" s="536">
        <v>27042.19</v>
      </c>
      <c r="X67" s="936">
        <v>0.02</v>
      </c>
      <c r="Y67" s="536">
        <v>27718.25</v>
      </c>
      <c r="Z67" s="936">
        <v>1.9999999999999997E-2</v>
      </c>
      <c r="AA67" s="536">
        <v>28394.3</v>
      </c>
      <c r="AB67" s="936">
        <v>0.03</v>
      </c>
      <c r="AC67" s="536">
        <v>29070.36</v>
      </c>
      <c r="AD67" s="936">
        <v>0.03</v>
      </c>
      <c r="AE67" s="536">
        <v>29746.41</v>
      </c>
      <c r="AF67" s="936">
        <v>0.03</v>
      </c>
      <c r="AG67" s="536">
        <v>31774.58</v>
      </c>
      <c r="AH67" s="936">
        <v>0.03</v>
      </c>
      <c r="AI67" s="536">
        <v>32450.63</v>
      </c>
      <c r="AJ67" s="936">
        <v>0.03</v>
      </c>
      <c r="AK67" s="536">
        <v>33126.68</v>
      </c>
      <c r="AL67" s="936">
        <v>0.03</v>
      </c>
      <c r="AM67" s="536">
        <v>33802.74</v>
      </c>
      <c r="AN67" s="936">
        <v>0.03</v>
      </c>
      <c r="AO67" s="536">
        <v>34478.79</v>
      </c>
      <c r="AP67" s="936">
        <v>0.03</v>
      </c>
      <c r="AQ67" s="536">
        <v>36506.959999999999</v>
      </c>
      <c r="AR67" s="936">
        <v>0.03</v>
      </c>
      <c r="AS67" s="978">
        <v>37183.01</v>
      </c>
      <c r="AT67" s="936">
        <v>0.04</v>
      </c>
    </row>
    <row r="68" spans="1:46" ht="15" customHeight="1">
      <c r="A68" s="1042" t="s">
        <v>58</v>
      </c>
      <c r="B68" s="1043"/>
      <c r="C68" s="536">
        <v>1313.4</v>
      </c>
      <c r="D68" s="936">
        <v>0</v>
      </c>
      <c r="E68" s="536">
        <v>1372.36</v>
      </c>
      <c r="F68" s="936">
        <v>0</v>
      </c>
      <c r="G68" s="536">
        <v>1431.33</v>
      </c>
      <c r="H68" s="936">
        <v>0</v>
      </c>
      <c r="I68" s="536">
        <v>1509.92</v>
      </c>
      <c r="J68" s="936">
        <v>0</v>
      </c>
      <c r="K68" s="536">
        <v>1588.51</v>
      </c>
      <c r="L68" s="936">
        <v>0</v>
      </c>
      <c r="M68" s="536">
        <v>157.18</v>
      </c>
      <c r="N68" s="936">
        <v>0</v>
      </c>
      <c r="O68" s="511">
        <v>235.77</v>
      </c>
      <c r="P68" s="936">
        <v>0</v>
      </c>
      <c r="Q68" s="536">
        <v>314.37</v>
      </c>
      <c r="R68" s="936">
        <v>0</v>
      </c>
      <c r="S68" s="536">
        <v>412.59</v>
      </c>
      <c r="T68" s="936">
        <v>0</v>
      </c>
      <c r="U68" s="536">
        <v>510.81</v>
      </c>
      <c r="V68" s="936">
        <v>0</v>
      </c>
      <c r="W68" s="536">
        <v>805.46</v>
      </c>
      <c r="X68" s="936">
        <v>0</v>
      </c>
      <c r="Y68" s="536">
        <v>903.68</v>
      </c>
      <c r="Z68" s="936">
        <v>0</v>
      </c>
      <c r="AA68" s="536">
        <v>1001.9</v>
      </c>
      <c r="AB68" s="936">
        <v>0</v>
      </c>
      <c r="AC68" s="536">
        <v>1090.31</v>
      </c>
      <c r="AD68" s="936">
        <v>0</v>
      </c>
      <c r="AE68" s="536">
        <v>1178.71</v>
      </c>
      <c r="AF68" s="936">
        <v>0</v>
      </c>
      <c r="AG68" s="536">
        <v>1443.93</v>
      </c>
      <c r="AH68" s="936">
        <v>0</v>
      </c>
      <c r="AI68" s="536">
        <v>1532.33</v>
      </c>
      <c r="AJ68" s="936">
        <v>0</v>
      </c>
      <c r="AK68" s="536">
        <v>1620.74</v>
      </c>
      <c r="AL68" s="936">
        <v>0</v>
      </c>
      <c r="AM68" s="536">
        <v>1702.11</v>
      </c>
      <c r="AN68" s="936">
        <v>0</v>
      </c>
      <c r="AO68" s="536">
        <v>1783.48</v>
      </c>
      <c r="AP68" s="936">
        <v>0</v>
      </c>
      <c r="AQ68" s="536">
        <v>2027.6</v>
      </c>
      <c r="AR68" s="936">
        <v>0</v>
      </c>
      <c r="AS68" s="511">
        <v>2108.9699999999998</v>
      </c>
      <c r="AT68" s="936">
        <v>0</v>
      </c>
    </row>
    <row r="69" spans="1:46" s="459" customFormat="1">
      <c r="A69" s="458" t="s">
        <v>120</v>
      </c>
      <c r="B69" s="424" t="s">
        <v>105</v>
      </c>
      <c r="C69" s="819">
        <v>750</v>
      </c>
      <c r="D69" s="934"/>
      <c r="E69" s="819">
        <v>750</v>
      </c>
      <c r="F69" s="934"/>
      <c r="G69" s="819">
        <v>750</v>
      </c>
      <c r="H69" s="934"/>
      <c r="I69" s="819">
        <v>750</v>
      </c>
      <c r="J69" s="934"/>
      <c r="K69" s="819">
        <v>750</v>
      </c>
      <c r="L69" s="934"/>
      <c r="M69" s="819">
        <v>750</v>
      </c>
      <c r="N69" s="934"/>
      <c r="O69" s="819">
        <v>750</v>
      </c>
      <c r="P69" s="934"/>
      <c r="Q69" s="819">
        <v>750</v>
      </c>
      <c r="R69" s="934"/>
      <c r="S69" s="819">
        <v>750</v>
      </c>
      <c r="T69" s="934"/>
      <c r="U69" s="819">
        <v>750</v>
      </c>
      <c r="V69" s="934"/>
      <c r="W69" s="819">
        <v>750</v>
      </c>
      <c r="X69" s="934"/>
      <c r="Y69" s="819">
        <v>750</v>
      </c>
      <c r="Z69" s="934"/>
      <c r="AA69" s="819">
        <v>750</v>
      </c>
      <c r="AB69" s="934"/>
      <c r="AC69" s="819">
        <v>750</v>
      </c>
      <c r="AD69" s="934"/>
      <c r="AE69" s="819">
        <v>750</v>
      </c>
      <c r="AF69" s="934"/>
      <c r="AG69" s="819">
        <v>750</v>
      </c>
      <c r="AH69" s="934"/>
      <c r="AI69" s="819">
        <v>750</v>
      </c>
      <c r="AJ69" s="934"/>
      <c r="AK69" s="819">
        <v>750</v>
      </c>
      <c r="AL69" s="934"/>
      <c r="AM69" s="819">
        <v>750</v>
      </c>
      <c r="AN69" s="934"/>
      <c r="AO69" s="819">
        <v>750</v>
      </c>
      <c r="AP69" s="934"/>
      <c r="AQ69" s="819">
        <v>750</v>
      </c>
      <c r="AR69" s="934"/>
      <c r="AS69" s="830">
        <v>540</v>
      </c>
      <c r="AT69" s="934"/>
    </row>
    <row r="70" spans="1:46" s="459" customFormat="1">
      <c r="A70" s="543" t="s">
        <v>132</v>
      </c>
      <c r="B70" s="544"/>
      <c r="C70" s="937"/>
      <c r="D70" s="934"/>
      <c r="E70" s="937"/>
      <c r="F70" s="934"/>
      <c r="G70" s="937"/>
      <c r="H70" s="934"/>
      <c r="I70" s="937"/>
      <c r="J70" s="934"/>
      <c r="K70" s="937"/>
      <c r="L70" s="934"/>
      <c r="M70" s="937"/>
      <c r="N70" s="934"/>
      <c r="O70" s="937"/>
      <c r="P70" s="934"/>
      <c r="Q70" s="937"/>
      <c r="R70" s="934"/>
      <c r="S70" s="937"/>
      <c r="T70" s="934"/>
      <c r="U70" s="937"/>
      <c r="V70" s="934"/>
      <c r="W70" s="937"/>
      <c r="X70" s="934"/>
      <c r="Y70" s="937"/>
      <c r="Z70" s="934"/>
      <c r="AA70" s="937"/>
      <c r="AB70" s="934"/>
      <c r="AC70" s="937"/>
      <c r="AD70" s="934"/>
      <c r="AE70" s="937"/>
      <c r="AF70" s="934"/>
      <c r="AG70" s="937"/>
      <c r="AH70" s="934"/>
      <c r="AI70" s="937"/>
      <c r="AJ70" s="934"/>
      <c r="AK70" s="937"/>
      <c r="AL70" s="934"/>
      <c r="AM70" s="937"/>
      <c r="AN70" s="934"/>
      <c r="AO70" s="937"/>
      <c r="AP70" s="934"/>
      <c r="AQ70" s="937"/>
      <c r="AR70" s="934"/>
      <c r="AS70" s="937"/>
      <c r="AT70" s="934"/>
    </row>
    <row r="71" spans="1:46" s="459" customFormat="1" ht="15">
      <c r="A71" s="1032" t="s">
        <v>39</v>
      </c>
      <c r="B71" s="1056"/>
      <c r="C71" s="937"/>
      <c r="D71" s="938"/>
      <c r="E71" s="937"/>
      <c r="F71" s="938"/>
      <c r="G71" s="937"/>
      <c r="H71" s="938"/>
      <c r="I71" s="937"/>
      <c r="J71" s="938"/>
      <c r="K71" s="937"/>
      <c r="L71" s="938"/>
      <c r="M71" s="937"/>
      <c r="N71" s="938"/>
      <c r="O71" s="937"/>
      <c r="P71" s="938"/>
      <c r="Q71" s="937"/>
      <c r="R71" s="938"/>
      <c r="S71" s="937"/>
      <c r="T71" s="938"/>
      <c r="U71" s="937"/>
      <c r="V71" s="938"/>
      <c r="W71" s="937"/>
      <c r="X71" s="938"/>
      <c r="Y71" s="937"/>
      <c r="Z71" s="938"/>
      <c r="AA71" s="937"/>
      <c r="AB71" s="938"/>
      <c r="AC71" s="937"/>
      <c r="AD71" s="938"/>
      <c r="AE71" s="937"/>
      <c r="AF71" s="938"/>
      <c r="AG71" s="937"/>
      <c r="AH71" s="938"/>
      <c r="AI71" s="937"/>
      <c r="AJ71" s="938"/>
      <c r="AK71" s="937"/>
      <c r="AL71" s="938"/>
      <c r="AM71" s="937"/>
      <c r="AN71" s="938"/>
      <c r="AO71" s="937"/>
      <c r="AP71" s="938"/>
      <c r="AQ71" s="937"/>
      <c r="AR71" s="938"/>
      <c r="AS71" s="937"/>
      <c r="AT71" s="938"/>
    </row>
    <row r="72" spans="1:46" ht="16.5" thickBot="1">
      <c r="A72" s="1020"/>
      <c r="B72" s="1048"/>
      <c r="C72" s="939">
        <f t="shared" ref="C72:D72" si="88">SUM(C40:C71)</f>
        <v>8070567.3600000022</v>
      </c>
      <c r="D72" s="939">
        <f t="shared" si="88"/>
        <v>7.64</v>
      </c>
      <c r="E72" s="939">
        <f t="shared" ref="E72:F72" si="89">SUM(E40:E71)</f>
        <v>8070125.620000001</v>
      </c>
      <c r="F72" s="939">
        <f t="shared" si="89"/>
        <v>7.6499999999999995</v>
      </c>
      <c r="G72" s="939">
        <f t="shared" ref="G72:H72" si="90">SUM(G40:G71)</f>
        <v>8069383.910000002</v>
      </c>
      <c r="H72" s="939">
        <f t="shared" si="90"/>
        <v>7.6899999999999986</v>
      </c>
      <c r="I72" s="939">
        <f t="shared" ref="I72:J72" si="91">SUM(I40:I71)</f>
        <v>8068661.8099999996</v>
      </c>
      <c r="J72" s="939">
        <f t="shared" si="91"/>
        <v>7.6899999999999986</v>
      </c>
      <c r="K72" s="939">
        <f t="shared" ref="K72:L72" si="92">SUM(K40:K71)</f>
        <v>8067939.6900000013</v>
      </c>
      <c r="L72" s="939">
        <f t="shared" si="92"/>
        <v>7.6899999999999986</v>
      </c>
      <c r="M72" s="939">
        <f t="shared" ref="M72:N72" si="93">SUM(M40:M71)</f>
        <v>8052520.6499999994</v>
      </c>
      <c r="N72" s="939">
        <f t="shared" si="93"/>
        <v>7.669999999999999</v>
      </c>
      <c r="O72" s="939">
        <f t="shared" ref="O72:P72" si="94">SUM(O40:O71)</f>
        <v>7765458.6599999992</v>
      </c>
      <c r="P72" s="939">
        <f t="shared" si="94"/>
        <v>7.3899999999999979</v>
      </c>
      <c r="Q72" s="939">
        <f t="shared" ref="Q72:R72" si="95">SUM(Q40:Q71)</f>
        <v>7769528.879999999</v>
      </c>
      <c r="R72" s="939">
        <f t="shared" si="95"/>
        <v>7.3999999999999977</v>
      </c>
      <c r="S72" s="939">
        <f t="shared" ref="S72:T72" si="96">SUM(S40:S71)</f>
        <v>7768190.5199999986</v>
      </c>
      <c r="T72" s="939">
        <f t="shared" si="96"/>
        <v>7.4099999999999975</v>
      </c>
      <c r="U72" s="939">
        <f t="shared" ref="U72:V72" si="97">SUM(U40:U71)</f>
        <v>7767712.9799999995</v>
      </c>
      <c r="V72" s="939">
        <f t="shared" si="97"/>
        <v>7.3999999999999977</v>
      </c>
      <c r="W72" s="939">
        <f t="shared" ref="W72:X72" si="98">SUM(W40:W71)</f>
        <v>7764935.7700000005</v>
      </c>
      <c r="X72" s="939">
        <f t="shared" si="98"/>
        <v>7.3899999999999979</v>
      </c>
      <c r="Y72" s="939">
        <f t="shared" ref="Y72:Z72" si="99">SUM(Y40:Y71)</f>
        <v>7764458.1899999985</v>
      </c>
      <c r="Z72" s="939">
        <f t="shared" si="99"/>
        <v>7.3899999999999979</v>
      </c>
      <c r="AA72" s="939">
        <f t="shared" ref="AA72:AB72" si="100">SUM(AA40:AA71)</f>
        <v>7732369.0399999991</v>
      </c>
      <c r="AB72" s="939">
        <f t="shared" si="100"/>
        <v>7.3599999999999985</v>
      </c>
      <c r="AC72" s="939">
        <f t="shared" ref="AC72:AD72" si="101">SUM(AC40:AC71)</f>
        <v>7732079.2899999991</v>
      </c>
      <c r="AD72" s="939">
        <f t="shared" si="101"/>
        <v>7.3599999999999985</v>
      </c>
      <c r="AE72" s="939">
        <f t="shared" ref="AE72:AF72" si="102">SUM(AE40:AE71)</f>
        <v>7731789.5199999977</v>
      </c>
      <c r="AF72" s="939">
        <f t="shared" si="102"/>
        <v>7.349999999999997</v>
      </c>
      <c r="AG72" s="939">
        <f t="shared" ref="AG72:AH72" si="103">SUM(AG40:AG71)</f>
        <v>7730920.2599999988</v>
      </c>
      <c r="AH72" s="939">
        <f t="shared" si="103"/>
        <v>7.339999999999999</v>
      </c>
      <c r="AI72" s="939">
        <f t="shared" ref="AI72:AJ72" si="104">SUM(AI40:AI71)</f>
        <v>7730630.5</v>
      </c>
      <c r="AJ72" s="939">
        <f t="shared" si="104"/>
        <v>7.3399999999999981</v>
      </c>
      <c r="AK72" s="939">
        <f t="shared" ref="AK72:AL72" si="105">SUM(AK40:AK71)</f>
        <v>7738550.7499999972</v>
      </c>
      <c r="AL72" s="939">
        <f t="shared" si="105"/>
        <v>7.3599999999999977</v>
      </c>
      <c r="AM72" s="939">
        <f t="shared" ref="AM72:AN72" si="106">SUM(AM40:AM71)</f>
        <v>7738253.9399999985</v>
      </c>
      <c r="AN72" s="939">
        <f t="shared" si="106"/>
        <v>7.3399999999999981</v>
      </c>
      <c r="AO72" s="939">
        <f t="shared" ref="AO72:AP72" si="107">SUM(AO40:AO71)</f>
        <v>7658537.4700000007</v>
      </c>
      <c r="AP72" s="939">
        <f t="shared" si="107"/>
        <v>7.2499999999999982</v>
      </c>
      <c r="AQ72" s="939">
        <f t="shared" ref="AQ72:AR72" si="108">SUM(AQ40:AQ71)</f>
        <v>7647083.7399999974</v>
      </c>
      <c r="AR72" s="939">
        <f t="shared" si="108"/>
        <v>7.2199999999999989</v>
      </c>
      <c r="AS72" s="939">
        <f t="shared" ref="AS72:AT72" si="109">SUM(AS40:AS71)</f>
        <v>7729586.709999999</v>
      </c>
      <c r="AT72" s="939">
        <f t="shared" si="109"/>
        <v>7.3299999999999992</v>
      </c>
    </row>
    <row r="73" spans="1:46">
      <c r="B73" s="142" t="s">
        <v>59</v>
      </c>
      <c r="C73" s="940">
        <f t="shared" ref="C73:D73" si="110">C9+C15+C18</f>
        <v>62748048.340000004</v>
      </c>
      <c r="D73" s="940">
        <f t="shared" si="110"/>
        <v>59.54</v>
      </c>
      <c r="E73" s="940">
        <f t="shared" ref="E73:F73" si="111">E9+E15+E18</f>
        <v>62627236.890000001</v>
      </c>
      <c r="F73" s="940">
        <f t="shared" si="111"/>
        <v>59.56</v>
      </c>
      <c r="G73" s="940">
        <f t="shared" ref="G73:H73" si="112">G9+G15+G18</f>
        <v>62773281.179999992</v>
      </c>
      <c r="H73" s="940">
        <f t="shared" si="112"/>
        <v>59.89</v>
      </c>
      <c r="I73" s="940">
        <f t="shared" ref="I73:J73" si="113">I9+I15+I18</f>
        <v>62768404.969999999</v>
      </c>
      <c r="J73" s="940">
        <f t="shared" si="113"/>
        <v>59.89</v>
      </c>
      <c r="K73" s="940">
        <f t="shared" ref="K73:L73" si="114">K9+K15+K18</f>
        <v>62794195.150000006</v>
      </c>
      <c r="L73" s="940">
        <f t="shared" si="114"/>
        <v>59.889999999999993</v>
      </c>
      <c r="M73" s="940">
        <f t="shared" ref="M73:N73" si="115">M9+M15+M18</f>
        <v>62862410.219999999</v>
      </c>
      <c r="N73" s="940">
        <f t="shared" si="115"/>
        <v>59.910000000000004</v>
      </c>
      <c r="O73" s="940">
        <f t="shared" ref="O73:P73" si="116">O9+O15+O18</f>
        <v>62923017.670000002</v>
      </c>
      <c r="P73" s="940">
        <f t="shared" si="116"/>
        <v>59.980000000000004</v>
      </c>
      <c r="Q73" s="940">
        <f t="shared" ref="Q73:R73" si="117">Q9+Q15+Q18</f>
        <v>62919336.619999997</v>
      </c>
      <c r="R73" s="940">
        <f t="shared" si="117"/>
        <v>59.980000000000004</v>
      </c>
      <c r="S73" s="940">
        <f t="shared" ref="S73:T73" si="118">S9+S15+S18</f>
        <v>62958998.230000004</v>
      </c>
      <c r="T73" s="940">
        <f t="shared" si="118"/>
        <v>59.98</v>
      </c>
      <c r="U73" s="940">
        <f t="shared" ref="U73:V73" si="119">U9+U15+U18</f>
        <v>62970275.120000005</v>
      </c>
      <c r="V73" s="940">
        <f t="shared" si="119"/>
        <v>59.989999999999995</v>
      </c>
      <c r="W73" s="940">
        <f t="shared" ref="W73:X73" si="120">W9+W15+W18</f>
        <v>62982193.470600002</v>
      </c>
      <c r="X73" s="940">
        <f t="shared" si="120"/>
        <v>59.99</v>
      </c>
      <c r="Y73" s="940">
        <f t="shared" ref="Y73:Z73" si="121">Y9+Y15+Y18</f>
        <v>63085322.239999995</v>
      </c>
      <c r="Z73" s="940">
        <f t="shared" si="121"/>
        <v>60.03</v>
      </c>
      <c r="AA73" s="940">
        <f t="shared" ref="AA73:AB73" si="122">AA9+AA15+AA18</f>
        <v>62801440.359999999</v>
      </c>
      <c r="AB73" s="940">
        <f t="shared" si="122"/>
        <v>59.73</v>
      </c>
      <c r="AC73" s="940">
        <f t="shared" ref="AC73:AD73" si="123">AC9+AC15+AC18</f>
        <v>62873754.719999999</v>
      </c>
      <c r="AD73" s="940">
        <f t="shared" si="123"/>
        <v>59.76</v>
      </c>
      <c r="AE73" s="940">
        <f t="shared" ref="AE73:AF73" si="124">AE9+AE15+AE18</f>
        <v>60290372.890000001</v>
      </c>
      <c r="AF73" s="940">
        <f t="shared" si="124"/>
        <v>57.360000000000007</v>
      </c>
      <c r="AG73" s="940">
        <f t="shared" ref="AG73:AH73" si="125">AG9+AG15+AG18</f>
        <v>60451527.170000002</v>
      </c>
      <c r="AH73" s="940">
        <f t="shared" si="125"/>
        <v>57.42</v>
      </c>
      <c r="AI73" s="940">
        <f t="shared" ref="AI73:AJ73" si="126">AI9+AI15+AI18</f>
        <v>60308632.5</v>
      </c>
      <c r="AJ73" s="940">
        <f t="shared" si="126"/>
        <v>57.359999999999992</v>
      </c>
      <c r="AK73" s="940">
        <f t="shared" ref="AK73:AL73" si="127">AK9+AK15+AK18</f>
        <v>60253351.399999999</v>
      </c>
      <c r="AL73" s="940">
        <f t="shared" si="127"/>
        <v>57.339999999999996</v>
      </c>
      <c r="AM73" s="940">
        <f t="shared" ref="AM73:AN73" si="128">AM9+AM15+AM18</f>
        <v>62932982.040000007</v>
      </c>
      <c r="AN73" s="940">
        <f t="shared" si="128"/>
        <v>59.84</v>
      </c>
      <c r="AO73" s="940">
        <f t="shared" ref="AO73:AP73" si="129">AO9+AO15+AO18</f>
        <v>62958331.25</v>
      </c>
      <c r="AP73" s="940">
        <f t="shared" si="129"/>
        <v>59.85</v>
      </c>
      <c r="AQ73" s="940">
        <f t="shared" ref="AQ73:AR73" si="130">AQ9+AQ15+AQ18</f>
        <v>63035974.07</v>
      </c>
      <c r="AR73" s="940">
        <f t="shared" si="130"/>
        <v>59.88</v>
      </c>
      <c r="AS73" s="940">
        <f t="shared" ref="AS73:AT73" si="131">AS9+AS15+AS18</f>
        <v>63132136.169999994</v>
      </c>
      <c r="AT73" s="940">
        <f t="shared" si="131"/>
        <v>59.870000000000005</v>
      </c>
    </row>
    <row r="74" spans="1:46">
      <c r="A74" s="145"/>
      <c r="B74" s="145" t="s">
        <v>109</v>
      </c>
      <c r="C74" s="941">
        <f t="shared" ref="C74:D74" si="132">C37</f>
        <v>27545045.259999998</v>
      </c>
      <c r="D74" s="941">
        <f t="shared" si="132"/>
        <v>26.17</v>
      </c>
      <c r="E74" s="941">
        <f t="shared" ref="E74:F74" si="133">E37</f>
        <v>27489800.18</v>
      </c>
      <c r="F74" s="941">
        <f t="shared" si="133"/>
        <v>26.129999999999995</v>
      </c>
      <c r="G74" s="941">
        <f t="shared" ref="G74:H74" si="134">G37</f>
        <v>26984258.41</v>
      </c>
      <c r="H74" s="941">
        <f t="shared" si="134"/>
        <v>25.739999999999995</v>
      </c>
      <c r="I74" s="941">
        <f t="shared" ref="I74:J74" si="135">I37</f>
        <v>26986748.41</v>
      </c>
      <c r="J74" s="941">
        <f t="shared" si="135"/>
        <v>25.739999999999995</v>
      </c>
      <c r="K74" s="941">
        <f t="shared" ref="K74:L74" si="136">K37</f>
        <v>26986848.41</v>
      </c>
      <c r="L74" s="941">
        <f t="shared" si="136"/>
        <v>25.739999999999995</v>
      </c>
      <c r="M74" s="941">
        <f t="shared" ref="M74:N74" si="137">M37</f>
        <v>27002945.469999999</v>
      </c>
      <c r="N74" s="941">
        <f t="shared" si="137"/>
        <v>25.739999999999995</v>
      </c>
      <c r="O74" s="941">
        <f t="shared" ref="O74:P74" si="138">O37</f>
        <v>27213250.960000001</v>
      </c>
      <c r="P74" s="941">
        <f t="shared" si="138"/>
        <v>25.939999999999994</v>
      </c>
      <c r="Q74" s="941">
        <f t="shared" ref="Q74:R74" si="139">Q37</f>
        <v>27213840.009999998</v>
      </c>
      <c r="R74" s="941">
        <f t="shared" si="139"/>
        <v>25.939999999999994</v>
      </c>
      <c r="S74" s="941">
        <f t="shared" ref="S74:T74" si="140">S37</f>
        <v>27218825.920000002</v>
      </c>
      <c r="T74" s="941">
        <f t="shared" si="140"/>
        <v>25.939999999999994</v>
      </c>
      <c r="U74" s="941">
        <f t="shared" ref="U74:V74" si="141">U37</f>
        <v>27218825.920000002</v>
      </c>
      <c r="V74" s="941">
        <f t="shared" si="141"/>
        <v>25.939999999999994</v>
      </c>
      <c r="W74" s="941">
        <f t="shared" ref="W74:X74" si="142">W37</f>
        <v>27226271.550000001</v>
      </c>
      <c r="X74" s="941">
        <f t="shared" si="142"/>
        <v>25.949999999999996</v>
      </c>
      <c r="Y74" s="941">
        <f t="shared" ref="Y74:Z74" si="143">Y37</f>
        <v>27226271.550000001</v>
      </c>
      <c r="Z74" s="941">
        <f t="shared" si="143"/>
        <v>25.909999999999997</v>
      </c>
      <c r="AA74" s="941">
        <f t="shared" ref="AA74:AB74" si="144">AA37</f>
        <v>27591938.949999999</v>
      </c>
      <c r="AB74" s="941">
        <f t="shared" si="144"/>
        <v>26.249999999999996</v>
      </c>
      <c r="AC74" s="941">
        <f t="shared" ref="AC74:AD74" si="145">AC37</f>
        <v>27599218.949999999</v>
      </c>
      <c r="AD74" s="941">
        <f t="shared" si="145"/>
        <v>26.229999999999997</v>
      </c>
      <c r="AE74" s="941">
        <f t="shared" ref="AE74:AF74" si="146">AE37</f>
        <v>30094676.670000002</v>
      </c>
      <c r="AF74" s="941">
        <f t="shared" si="146"/>
        <v>28.63</v>
      </c>
      <c r="AG74" s="941">
        <f t="shared" ref="AG74:AH74" si="147">AG37</f>
        <v>30094676.670000002</v>
      </c>
      <c r="AH74" s="941">
        <f t="shared" si="147"/>
        <v>28.589999999999996</v>
      </c>
      <c r="AI74" s="941">
        <f t="shared" ref="AI74:AJ74" si="148">AI37</f>
        <v>30094676.670000002</v>
      </c>
      <c r="AJ74" s="941">
        <f t="shared" si="148"/>
        <v>28.62</v>
      </c>
      <c r="AK74" s="941">
        <f t="shared" ref="AK74:AL74" si="149">AK37</f>
        <v>30083692.109999999</v>
      </c>
      <c r="AL74" s="941">
        <f t="shared" si="149"/>
        <v>28.63</v>
      </c>
      <c r="AM74" s="941">
        <f t="shared" ref="AM74:AN74" si="150">AM37</f>
        <v>27497192.469999999</v>
      </c>
      <c r="AN74" s="941">
        <f t="shared" si="150"/>
        <v>26.149999999999995</v>
      </c>
      <c r="AO74" s="941">
        <f t="shared" ref="AO74:AP74" si="151">AO37</f>
        <v>27577011.240000002</v>
      </c>
      <c r="AP74" s="941">
        <f t="shared" si="151"/>
        <v>26.23</v>
      </c>
      <c r="AQ74" s="941">
        <f t="shared" ref="AQ74:AR74" si="152">AQ37</f>
        <v>27587627.68</v>
      </c>
      <c r="AR74" s="941">
        <f t="shared" si="152"/>
        <v>26.24</v>
      </c>
      <c r="AS74" s="941">
        <f t="shared" ref="AS74:AT74" si="153">AS37</f>
        <v>27589046.91</v>
      </c>
      <c r="AT74" s="941">
        <f t="shared" si="153"/>
        <v>26.17</v>
      </c>
    </row>
    <row r="75" spans="1:46">
      <c r="B75" s="145" t="s">
        <v>110</v>
      </c>
      <c r="C75" s="941">
        <f t="shared" ref="C75:D75" si="154">C22</f>
        <v>7005983.7000000002</v>
      </c>
      <c r="D75" s="941">
        <f t="shared" si="154"/>
        <v>6.65</v>
      </c>
      <c r="E75" s="941">
        <f t="shared" ref="E75:F75" si="155">E22</f>
        <v>7005983.7000000002</v>
      </c>
      <c r="F75" s="941">
        <f t="shared" si="155"/>
        <v>6.66</v>
      </c>
      <c r="G75" s="941">
        <f t="shared" ref="G75:H75" si="156">G22</f>
        <v>7005983.7000000002</v>
      </c>
      <c r="H75" s="941">
        <f t="shared" si="156"/>
        <v>6.68</v>
      </c>
      <c r="I75" s="941">
        <f t="shared" ref="I75:J75" si="157">I22</f>
        <v>7005983.7000000002</v>
      </c>
      <c r="J75" s="941">
        <f t="shared" si="157"/>
        <v>6.68</v>
      </c>
      <c r="K75" s="941">
        <f t="shared" ref="K75:L75" si="158">K22</f>
        <v>7005983.7000000002</v>
      </c>
      <c r="L75" s="941">
        <f t="shared" si="158"/>
        <v>6.68</v>
      </c>
      <c r="M75" s="941">
        <f t="shared" ref="M75:N75" si="159">M22</f>
        <v>7005983.7000000002</v>
      </c>
      <c r="N75" s="941">
        <f t="shared" si="159"/>
        <v>6.68</v>
      </c>
      <c r="O75" s="941">
        <f t="shared" ref="O75:P75" si="160">O22</f>
        <v>7005983.7000000002</v>
      </c>
      <c r="P75" s="941">
        <f t="shared" si="160"/>
        <v>6.68</v>
      </c>
      <c r="Q75" s="941">
        <f t="shared" ref="Q75:R75" si="161">Q22</f>
        <v>7005983.7000000002</v>
      </c>
      <c r="R75" s="941">
        <f t="shared" si="161"/>
        <v>6.68</v>
      </c>
      <c r="S75" s="941">
        <f t="shared" ref="S75:T75" si="162">S22</f>
        <v>7005983.7000000002</v>
      </c>
      <c r="T75" s="941">
        <f t="shared" si="162"/>
        <v>6.68</v>
      </c>
      <c r="U75" s="941">
        <f t="shared" ref="U75:V75" si="163">U22</f>
        <v>7005983.7000000002</v>
      </c>
      <c r="V75" s="941">
        <f t="shared" si="163"/>
        <v>6.67</v>
      </c>
      <c r="W75" s="941">
        <f t="shared" ref="W75:X75" si="164">W22</f>
        <v>7005983.7000000002</v>
      </c>
      <c r="X75" s="941">
        <f t="shared" si="164"/>
        <v>6.67</v>
      </c>
      <c r="Y75" s="941">
        <f t="shared" ref="Y75:Z75" si="165">Y22</f>
        <v>7005983.7000000002</v>
      </c>
      <c r="Z75" s="941">
        <f t="shared" si="165"/>
        <v>6.67</v>
      </c>
      <c r="AA75" s="941">
        <f t="shared" ref="AA75:AB75" si="166">AA22</f>
        <v>7005983.7000000002</v>
      </c>
      <c r="AB75" s="941">
        <f t="shared" si="166"/>
        <v>6.67</v>
      </c>
      <c r="AC75" s="941">
        <f t="shared" ref="AC75:AD75" si="167">AC22</f>
        <v>7005983.7000000002</v>
      </c>
      <c r="AD75" s="941">
        <f t="shared" si="167"/>
        <v>6.66</v>
      </c>
      <c r="AE75" s="941">
        <f t="shared" ref="AE75:AF75" si="168">AE22</f>
        <v>7005983.7000000002</v>
      </c>
      <c r="AF75" s="941">
        <f t="shared" si="168"/>
        <v>6.66</v>
      </c>
      <c r="AG75" s="941">
        <f t="shared" ref="AG75:AH75" si="169">AG22</f>
        <v>7005983.7000000002</v>
      </c>
      <c r="AH75" s="941">
        <f t="shared" si="169"/>
        <v>6.65</v>
      </c>
      <c r="AI75" s="941">
        <f t="shared" ref="AI75:AJ75" si="170">AI22</f>
        <v>7005983.7000000002</v>
      </c>
      <c r="AJ75" s="941">
        <f t="shared" si="170"/>
        <v>6.67</v>
      </c>
      <c r="AK75" s="941">
        <f t="shared" ref="AK75:AL75" si="171">AK22</f>
        <v>7005983.7000000002</v>
      </c>
      <c r="AL75" s="941">
        <f t="shared" si="171"/>
        <v>6.67</v>
      </c>
      <c r="AM75" s="941">
        <f t="shared" ref="AM75:AN75" si="172">AM22</f>
        <v>7005983.7000000002</v>
      </c>
      <c r="AN75" s="941">
        <f t="shared" si="172"/>
        <v>6.66</v>
      </c>
      <c r="AO75" s="941">
        <f t="shared" ref="AO75:AP75" si="173">AO22</f>
        <v>7005983.7000000002</v>
      </c>
      <c r="AP75" s="941">
        <f t="shared" si="173"/>
        <v>6.66</v>
      </c>
      <c r="AQ75" s="941">
        <f t="shared" ref="AQ75:AR75" si="174">AQ22</f>
        <v>7005983.7000000002</v>
      </c>
      <c r="AR75" s="941">
        <f t="shared" si="174"/>
        <v>6.66</v>
      </c>
      <c r="AS75" s="941">
        <f t="shared" ref="AS75:AT75" si="175">AS22</f>
        <v>7005983.7000000002</v>
      </c>
      <c r="AT75" s="941">
        <f t="shared" si="175"/>
        <v>6.6400000000000006</v>
      </c>
    </row>
    <row r="76" spans="1:46">
      <c r="B76" s="145" t="s">
        <v>122</v>
      </c>
      <c r="C76" s="941"/>
      <c r="D76" s="941"/>
      <c r="E76" s="941"/>
      <c r="F76" s="941"/>
      <c r="G76" s="941"/>
      <c r="H76" s="941"/>
      <c r="I76" s="941"/>
      <c r="J76" s="941"/>
      <c r="K76" s="941"/>
      <c r="L76" s="941"/>
      <c r="M76" s="941"/>
      <c r="N76" s="941"/>
      <c r="O76" s="941"/>
      <c r="P76" s="941"/>
      <c r="Q76" s="941"/>
      <c r="R76" s="941"/>
      <c r="S76" s="941"/>
      <c r="T76" s="941"/>
      <c r="U76" s="941"/>
      <c r="V76" s="941"/>
      <c r="W76" s="941"/>
      <c r="X76" s="941"/>
      <c r="Y76" s="941"/>
      <c r="Z76" s="941"/>
      <c r="AA76" s="941"/>
      <c r="AB76" s="941"/>
      <c r="AC76" s="941"/>
      <c r="AD76" s="941"/>
      <c r="AE76" s="941"/>
      <c r="AF76" s="941"/>
      <c r="AG76" s="941"/>
      <c r="AH76" s="941"/>
      <c r="AI76" s="941"/>
      <c r="AJ76" s="941"/>
      <c r="AK76" s="941"/>
      <c r="AL76" s="941"/>
      <c r="AM76" s="941"/>
      <c r="AN76" s="941"/>
      <c r="AO76" s="941"/>
      <c r="AP76" s="941"/>
      <c r="AQ76" s="941"/>
      <c r="AR76" s="941"/>
      <c r="AS76" s="941"/>
      <c r="AT76" s="941"/>
    </row>
    <row r="77" spans="1:46" ht="16.5" thickBot="1">
      <c r="A77" s="1037"/>
      <c r="B77" s="1038"/>
      <c r="C77" s="942">
        <f t="shared" ref="C77:D77" si="176">C72</f>
        <v>8070567.3600000022</v>
      </c>
      <c r="D77" s="942">
        <f t="shared" si="176"/>
        <v>7.64</v>
      </c>
      <c r="E77" s="942">
        <f t="shared" ref="E77:F77" si="177">E72</f>
        <v>8070125.620000001</v>
      </c>
      <c r="F77" s="942">
        <f t="shared" si="177"/>
        <v>7.6499999999999995</v>
      </c>
      <c r="G77" s="942">
        <f t="shared" ref="G77:H77" si="178">G72</f>
        <v>8069383.910000002</v>
      </c>
      <c r="H77" s="942">
        <f t="shared" si="178"/>
        <v>7.6899999999999986</v>
      </c>
      <c r="I77" s="942">
        <f t="shared" ref="I77:J77" si="179">I72</f>
        <v>8068661.8099999996</v>
      </c>
      <c r="J77" s="942">
        <f t="shared" si="179"/>
        <v>7.6899999999999986</v>
      </c>
      <c r="K77" s="942">
        <f t="shared" ref="K77:L77" si="180">K72</f>
        <v>8067939.6900000013</v>
      </c>
      <c r="L77" s="942">
        <f t="shared" si="180"/>
        <v>7.6899999999999986</v>
      </c>
      <c r="M77" s="942">
        <f t="shared" ref="M77:N77" si="181">M72</f>
        <v>8052520.6499999994</v>
      </c>
      <c r="N77" s="942">
        <f t="shared" si="181"/>
        <v>7.669999999999999</v>
      </c>
      <c r="O77" s="942">
        <f t="shared" ref="O77:P77" si="182">O72</f>
        <v>7765458.6599999992</v>
      </c>
      <c r="P77" s="942">
        <f t="shared" si="182"/>
        <v>7.3899999999999979</v>
      </c>
      <c r="Q77" s="942">
        <f t="shared" ref="Q77:R77" si="183">Q72</f>
        <v>7769528.879999999</v>
      </c>
      <c r="R77" s="942">
        <f t="shared" si="183"/>
        <v>7.3999999999999977</v>
      </c>
      <c r="S77" s="942">
        <f t="shared" ref="S77:T77" si="184">S72</f>
        <v>7768190.5199999986</v>
      </c>
      <c r="T77" s="942">
        <f t="shared" si="184"/>
        <v>7.4099999999999975</v>
      </c>
      <c r="U77" s="942">
        <f t="shared" ref="U77:V77" si="185">U72</f>
        <v>7767712.9799999995</v>
      </c>
      <c r="V77" s="942">
        <f t="shared" si="185"/>
        <v>7.3999999999999977</v>
      </c>
      <c r="W77" s="942">
        <f t="shared" ref="W77:X77" si="186">W72</f>
        <v>7764935.7700000005</v>
      </c>
      <c r="X77" s="942">
        <f t="shared" si="186"/>
        <v>7.3899999999999979</v>
      </c>
      <c r="Y77" s="942">
        <f t="shared" ref="Y77:Z77" si="187">Y72</f>
        <v>7764458.1899999985</v>
      </c>
      <c r="Z77" s="942">
        <f t="shared" si="187"/>
        <v>7.3899999999999979</v>
      </c>
      <c r="AA77" s="942">
        <f t="shared" ref="AA77:AB77" si="188">AA72</f>
        <v>7732369.0399999991</v>
      </c>
      <c r="AB77" s="942">
        <f t="shared" si="188"/>
        <v>7.3599999999999985</v>
      </c>
      <c r="AC77" s="942">
        <f t="shared" ref="AC77:AD77" si="189">AC72</f>
        <v>7732079.2899999991</v>
      </c>
      <c r="AD77" s="942">
        <f t="shared" si="189"/>
        <v>7.3599999999999985</v>
      </c>
      <c r="AE77" s="942">
        <f t="shared" ref="AE77:AF77" si="190">AE72</f>
        <v>7731789.5199999977</v>
      </c>
      <c r="AF77" s="942">
        <f t="shared" si="190"/>
        <v>7.349999999999997</v>
      </c>
      <c r="AG77" s="942">
        <f t="shared" ref="AG77:AH77" si="191">AG72</f>
        <v>7730920.2599999988</v>
      </c>
      <c r="AH77" s="942">
        <f t="shared" si="191"/>
        <v>7.339999999999999</v>
      </c>
      <c r="AI77" s="942">
        <f t="shared" ref="AI77:AJ77" si="192">AI72</f>
        <v>7730630.5</v>
      </c>
      <c r="AJ77" s="942">
        <f t="shared" si="192"/>
        <v>7.3399999999999981</v>
      </c>
      <c r="AK77" s="942">
        <f t="shared" ref="AK77:AL77" si="193">AK72</f>
        <v>7738550.7499999972</v>
      </c>
      <c r="AL77" s="942">
        <f t="shared" si="193"/>
        <v>7.3599999999999977</v>
      </c>
      <c r="AM77" s="942">
        <f t="shared" ref="AM77:AN77" si="194">AM72</f>
        <v>7738253.9399999985</v>
      </c>
      <c r="AN77" s="942">
        <f t="shared" si="194"/>
        <v>7.3399999999999981</v>
      </c>
      <c r="AO77" s="942">
        <f t="shared" ref="AO77:AR77" si="195">AO72</f>
        <v>7658537.4700000007</v>
      </c>
      <c r="AP77" s="942">
        <f t="shared" si="195"/>
        <v>7.2499999999999982</v>
      </c>
      <c r="AQ77" s="942">
        <f t="shared" si="195"/>
        <v>7647083.7399999974</v>
      </c>
      <c r="AR77" s="942">
        <f t="shared" si="195"/>
        <v>7.2199999999999989</v>
      </c>
      <c r="AS77" s="942">
        <f t="shared" ref="AS77:AT77" si="196">AS72</f>
        <v>7729586.709999999</v>
      </c>
      <c r="AT77" s="942">
        <f t="shared" si="196"/>
        <v>7.3299999999999992</v>
      </c>
    </row>
    <row r="78" spans="1:46" ht="16.5" thickBot="1">
      <c r="A78" s="151"/>
      <c r="B78" s="152" t="s">
        <v>111</v>
      </c>
      <c r="C78" s="943">
        <f t="shared" ref="C78:D78" si="197">SUM(C73:C77)</f>
        <v>105369644.66</v>
      </c>
      <c r="D78" s="943">
        <f t="shared" si="197"/>
        <v>100.00000000000001</v>
      </c>
      <c r="E78" s="943">
        <f t="shared" ref="E78:F78" si="198">SUM(E73:E77)</f>
        <v>105193146.39</v>
      </c>
      <c r="F78" s="943">
        <f t="shared" si="198"/>
        <v>100</v>
      </c>
      <c r="G78" s="943">
        <f t="shared" ref="G78:H78" si="199">SUM(G73:G77)</f>
        <v>104832907.19999999</v>
      </c>
      <c r="H78" s="943">
        <f t="shared" si="199"/>
        <v>100</v>
      </c>
      <c r="I78" s="943">
        <f t="shared" ref="I78:J78" si="200">SUM(I73:I77)</f>
        <v>104829798.89</v>
      </c>
      <c r="J78" s="943">
        <f t="shared" si="200"/>
        <v>100</v>
      </c>
      <c r="K78" s="943">
        <f t="shared" ref="K78:L78" si="201">SUM(K73:K77)</f>
        <v>104854966.95</v>
      </c>
      <c r="L78" s="943">
        <f t="shared" si="201"/>
        <v>100</v>
      </c>
      <c r="M78" s="943">
        <f t="shared" ref="M78:N78" si="202">SUM(M73:M77)</f>
        <v>104923860.04000001</v>
      </c>
      <c r="N78" s="943">
        <f t="shared" si="202"/>
        <v>100.00000000000001</v>
      </c>
      <c r="O78" s="943">
        <f t="shared" ref="O78:P78" si="203">SUM(O73:O77)</f>
        <v>104907710.98999999</v>
      </c>
      <c r="P78" s="943">
        <f t="shared" si="203"/>
        <v>99.99</v>
      </c>
      <c r="Q78" s="943">
        <f t="shared" ref="Q78:R78" si="204">SUM(Q73:Q77)</f>
        <v>104908689.20999999</v>
      </c>
      <c r="R78" s="943">
        <f t="shared" si="204"/>
        <v>99.999999999999986</v>
      </c>
      <c r="S78" s="943">
        <f t="shared" ref="S78:T78" si="205">SUM(S73:S77)</f>
        <v>104951998.37</v>
      </c>
      <c r="T78" s="943">
        <f t="shared" si="205"/>
        <v>100.00999999999999</v>
      </c>
      <c r="U78" s="943">
        <f t="shared" ref="U78:V78" si="206">SUM(U73:U77)</f>
        <v>104962797.72000001</v>
      </c>
      <c r="V78" s="943">
        <f t="shared" si="206"/>
        <v>99.999999999999986</v>
      </c>
      <c r="W78" s="943">
        <f t="shared" ref="W78:X78" si="207">SUM(W73:W77)</f>
        <v>104979384.4906</v>
      </c>
      <c r="X78" s="943">
        <f t="shared" si="207"/>
        <v>100</v>
      </c>
      <c r="Y78" s="943">
        <f t="shared" ref="Y78:Z78" si="208">SUM(Y73:Y77)</f>
        <v>105082035.67999999</v>
      </c>
      <c r="Z78" s="943">
        <f t="shared" si="208"/>
        <v>100</v>
      </c>
      <c r="AA78" s="943">
        <f t="shared" ref="AA78:AB78" si="209">SUM(AA73:AA77)</f>
        <v>105131732.05000001</v>
      </c>
      <c r="AB78" s="943">
        <f t="shared" si="209"/>
        <v>100.00999999999999</v>
      </c>
      <c r="AC78" s="943">
        <f t="shared" ref="AC78:AD78" si="210">SUM(AC73:AC77)</f>
        <v>105211036.66</v>
      </c>
      <c r="AD78" s="943">
        <f t="shared" si="210"/>
        <v>100.00999999999999</v>
      </c>
      <c r="AE78" s="943">
        <f t="shared" ref="AE78:AF78" si="211">SUM(AE73:AE77)</f>
        <v>105122822.78</v>
      </c>
      <c r="AF78" s="943">
        <f t="shared" si="211"/>
        <v>100</v>
      </c>
      <c r="AG78" s="943">
        <f t="shared" ref="AG78:AH78" si="212">SUM(AG73:AG77)</f>
        <v>105283107.80000001</v>
      </c>
      <c r="AH78" s="943">
        <f t="shared" si="212"/>
        <v>100</v>
      </c>
      <c r="AI78" s="943">
        <f t="shared" ref="AI78:AJ78" si="213">SUM(AI73:AI77)</f>
        <v>105139923.37</v>
      </c>
      <c r="AJ78" s="943">
        <f t="shared" si="213"/>
        <v>99.99</v>
      </c>
      <c r="AK78" s="943">
        <f t="shared" ref="AK78:AL78" si="214">SUM(AK73:AK77)</f>
        <v>105081577.95999999</v>
      </c>
      <c r="AL78" s="943">
        <f t="shared" si="214"/>
        <v>100</v>
      </c>
      <c r="AM78" s="943">
        <f t="shared" ref="AM78:AN78" si="215">SUM(AM73:AM77)</f>
        <v>105174412.15000001</v>
      </c>
      <c r="AN78" s="943">
        <f t="shared" si="215"/>
        <v>99.99</v>
      </c>
      <c r="AO78" s="943">
        <f t="shared" ref="AO78:AP78" si="216">SUM(AO73:AO77)</f>
        <v>105199863.66000001</v>
      </c>
      <c r="AP78" s="943">
        <f t="shared" si="216"/>
        <v>99.99</v>
      </c>
      <c r="AQ78" s="943">
        <f t="shared" ref="AQ78:AR78" si="217">SUM(AQ73:AQ77)</f>
        <v>105276669.19</v>
      </c>
      <c r="AR78" s="943">
        <f t="shared" si="217"/>
        <v>100</v>
      </c>
      <c r="AS78" s="943">
        <f t="shared" ref="AS78:AT78" si="218">SUM(AS73:AS77)</f>
        <v>105456753.48999999</v>
      </c>
      <c r="AT78" s="943">
        <f t="shared" si="218"/>
        <v>100.01</v>
      </c>
    </row>
  </sheetData>
  <mergeCells count="37">
    <mergeCell ref="G1:H1"/>
    <mergeCell ref="E1:F1"/>
    <mergeCell ref="AS1:AT1"/>
    <mergeCell ref="A54:B54"/>
    <mergeCell ref="C1:D1"/>
    <mergeCell ref="A9:B9"/>
    <mergeCell ref="A15:B15"/>
    <mergeCell ref="A18:B18"/>
    <mergeCell ref="A22:B22"/>
    <mergeCell ref="A37:B37"/>
    <mergeCell ref="A39:B39"/>
    <mergeCell ref="A38:B38"/>
    <mergeCell ref="I1:J1"/>
    <mergeCell ref="W1:X1"/>
    <mergeCell ref="AA1:AB1"/>
    <mergeCell ref="M1:N1"/>
    <mergeCell ref="A77:B77"/>
    <mergeCell ref="A59:B59"/>
    <mergeCell ref="A64:B64"/>
    <mergeCell ref="A65:B65"/>
    <mergeCell ref="A68:B68"/>
    <mergeCell ref="A71:B71"/>
    <mergeCell ref="A72:B72"/>
    <mergeCell ref="K1:L1"/>
    <mergeCell ref="S1:T1"/>
    <mergeCell ref="O1:P1"/>
    <mergeCell ref="Q1:R1"/>
    <mergeCell ref="Y1:Z1"/>
    <mergeCell ref="U1:V1"/>
    <mergeCell ref="AQ1:AR1"/>
    <mergeCell ref="AG1:AH1"/>
    <mergeCell ref="AI1:AJ1"/>
    <mergeCell ref="AC1:AD1"/>
    <mergeCell ref="AE1:AF1"/>
    <mergeCell ref="AM1:AN1"/>
    <mergeCell ref="AO1:AP1"/>
    <mergeCell ref="AK1:AL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T76"/>
  <sheetViews>
    <sheetView topLeftCell="AP64" zoomScale="130" zoomScaleNormal="130" workbookViewId="0">
      <selection activeCell="AP77" sqref="A77:XFD90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7.85546875" style="294" customWidth="1"/>
    <col min="4" max="4" width="12.5703125" style="944" customWidth="1"/>
    <col min="5" max="5" width="27.85546875" style="294" customWidth="1"/>
    <col min="6" max="6" width="12.5703125" style="944" customWidth="1"/>
    <col min="7" max="7" width="27.85546875" style="294" customWidth="1"/>
    <col min="8" max="8" width="12.5703125" style="944" customWidth="1"/>
    <col min="9" max="9" width="27.85546875" style="294" customWidth="1"/>
    <col min="10" max="10" width="12.5703125" style="944" customWidth="1"/>
    <col min="11" max="11" width="27.85546875" style="294" customWidth="1"/>
    <col min="12" max="12" width="12.5703125" style="944" customWidth="1"/>
    <col min="13" max="13" width="27.85546875" style="294" customWidth="1"/>
    <col min="14" max="14" width="12.5703125" style="944" customWidth="1"/>
    <col min="15" max="15" width="27.85546875" style="294" customWidth="1"/>
    <col min="16" max="16" width="12.5703125" style="944" customWidth="1"/>
    <col min="17" max="17" width="27.85546875" style="294" customWidth="1"/>
    <col min="18" max="18" width="12.5703125" style="944" customWidth="1"/>
    <col min="19" max="19" width="27.85546875" style="294" customWidth="1"/>
    <col min="20" max="20" width="12.5703125" style="944" customWidth="1"/>
    <col min="21" max="21" width="27.85546875" style="294" customWidth="1"/>
    <col min="22" max="22" width="12.5703125" style="944" customWidth="1"/>
    <col min="23" max="23" width="27.85546875" style="294" customWidth="1"/>
    <col min="24" max="24" width="12.5703125" style="944" customWidth="1"/>
    <col min="25" max="25" width="27.85546875" style="294" customWidth="1"/>
    <col min="26" max="26" width="12.5703125" style="944" customWidth="1"/>
    <col min="27" max="27" width="27.85546875" style="294" customWidth="1"/>
    <col min="28" max="28" width="12.5703125" style="944" customWidth="1"/>
    <col min="29" max="29" width="27.85546875" style="294" customWidth="1"/>
    <col min="30" max="30" width="12.5703125" style="944" customWidth="1"/>
    <col min="31" max="31" width="27.85546875" style="294" customWidth="1"/>
    <col min="32" max="32" width="12.5703125" style="944" customWidth="1"/>
    <col min="33" max="33" width="27.85546875" style="294" customWidth="1"/>
    <col min="34" max="34" width="12.5703125" style="944" customWidth="1"/>
    <col min="35" max="35" width="27.85546875" style="294" customWidth="1"/>
    <col min="36" max="36" width="12.5703125" style="944" customWidth="1"/>
    <col min="37" max="37" width="27.85546875" style="294" customWidth="1"/>
    <col min="38" max="38" width="12.5703125" style="944" customWidth="1"/>
    <col min="39" max="39" width="27.85546875" style="294" customWidth="1"/>
    <col min="40" max="40" width="12.5703125" style="944" customWidth="1"/>
    <col min="41" max="41" width="27.85546875" style="294" customWidth="1"/>
    <col min="42" max="42" width="12.5703125" style="944" customWidth="1"/>
    <col min="43" max="43" width="27.85546875" style="294" customWidth="1"/>
    <col min="44" max="44" width="12.5703125" style="944" customWidth="1"/>
    <col min="45" max="45" width="27.85546875" style="294" customWidth="1"/>
    <col min="46" max="46" width="12.5703125" style="944" customWidth="1"/>
  </cols>
  <sheetData>
    <row r="1" spans="1:46">
      <c r="C1" s="1054">
        <v>1</v>
      </c>
      <c r="D1" s="1055"/>
      <c r="E1" s="1054">
        <v>2</v>
      </c>
      <c r="F1" s="1055"/>
      <c r="G1" s="1054">
        <v>3</v>
      </c>
      <c r="H1" s="1055"/>
      <c r="I1" s="1054">
        <v>6</v>
      </c>
      <c r="J1" s="1055"/>
      <c r="K1" s="1054">
        <v>7</v>
      </c>
      <c r="L1" s="1055"/>
      <c r="M1" s="1054">
        <v>8</v>
      </c>
      <c r="N1" s="1055"/>
      <c r="O1" s="1054">
        <v>9</v>
      </c>
      <c r="P1" s="1055"/>
      <c r="Q1" s="1054">
        <v>10</v>
      </c>
      <c r="R1" s="1055"/>
      <c r="S1" s="1054">
        <v>13</v>
      </c>
      <c r="T1" s="1055"/>
      <c r="U1" s="1054">
        <v>14</v>
      </c>
      <c r="V1" s="1055"/>
      <c r="W1" s="1054">
        <v>15</v>
      </c>
      <c r="X1" s="1055"/>
      <c r="Y1" s="1054">
        <v>16</v>
      </c>
      <c r="Z1" s="1055"/>
      <c r="AA1" s="1054">
        <v>17</v>
      </c>
      <c r="AB1" s="1055"/>
      <c r="AC1" s="1054">
        <v>20</v>
      </c>
      <c r="AD1" s="1055"/>
      <c r="AE1" s="1054">
        <v>21</v>
      </c>
      <c r="AF1" s="1055"/>
      <c r="AG1" s="1054">
        <v>22</v>
      </c>
      <c r="AH1" s="1055"/>
      <c r="AI1" s="1054">
        <v>23</v>
      </c>
      <c r="AJ1" s="1055"/>
      <c r="AK1" s="1054">
        <v>24</v>
      </c>
      <c r="AL1" s="1055"/>
      <c r="AM1" s="1054">
        <v>27</v>
      </c>
      <c r="AN1" s="1055"/>
      <c r="AO1" s="1054">
        <v>28</v>
      </c>
      <c r="AP1" s="1055"/>
      <c r="AQ1" s="1054">
        <v>29</v>
      </c>
      <c r="AR1" s="1055"/>
      <c r="AS1" s="1054">
        <v>30</v>
      </c>
      <c r="AT1" s="1055"/>
    </row>
    <row r="2" spans="1:46">
      <c r="A2" s="418" t="s">
        <v>118</v>
      </c>
      <c r="B2" s="58" t="s">
        <v>15</v>
      </c>
      <c r="C2" s="894">
        <v>6710386.5</v>
      </c>
      <c r="D2" s="895">
        <v>6.36</v>
      </c>
      <c r="E2" s="891">
        <v>6687351.6200000001</v>
      </c>
      <c r="F2" s="892">
        <v>6.37</v>
      </c>
      <c r="G2" s="894">
        <v>6716127</v>
      </c>
      <c r="H2" s="895">
        <v>6.4</v>
      </c>
      <c r="I2" s="894">
        <v>6706116.5999999996</v>
      </c>
      <c r="J2" s="895">
        <v>6.39</v>
      </c>
      <c r="K2" s="891">
        <v>6712622.0700000003</v>
      </c>
      <c r="L2" s="892">
        <v>6.39</v>
      </c>
      <c r="M2" s="891">
        <v>6723336.1600000001</v>
      </c>
      <c r="N2" s="892">
        <v>6.4</v>
      </c>
      <c r="O2" s="894">
        <v>6725221.5</v>
      </c>
      <c r="P2" s="895">
        <v>6.4</v>
      </c>
      <c r="Q2" s="894">
        <v>6728124</v>
      </c>
      <c r="R2" s="895">
        <v>6.4</v>
      </c>
      <c r="S2" s="894">
        <v>6736831.5</v>
      </c>
      <c r="T2" s="895">
        <v>6.4</v>
      </c>
      <c r="U2" s="894">
        <v>6751924.5</v>
      </c>
      <c r="V2" s="895">
        <v>6.43</v>
      </c>
      <c r="W2" s="894">
        <v>6754891.5</v>
      </c>
      <c r="X2" s="895">
        <v>6.42</v>
      </c>
      <c r="Y2" s="894">
        <v>8172840</v>
      </c>
      <c r="Z2" s="895">
        <v>7.77</v>
      </c>
      <c r="AA2" s="894">
        <v>8176038</v>
      </c>
      <c r="AB2" s="895">
        <v>7.77</v>
      </c>
      <c r="AC2" s="894">
        <v>8185554</v>
      </c>
      <c r="AD2" s="895">
        <v>7.77</v>
      </c>
      <c r="AE2" s="894">
        <v>8174946</v>
      </c>
      <c r="AF2" s="895">
        <v>7.75</v>
      </c>
      <c r="AG2" s="894">
        <v>8178144</v>
      </c>
      <c r="AH2" s="895">
        <v>7.76</v>
      </c>
      <c r="AI2" s="894">
        <v>8181342</v>
      </c>
      <c r="AJ2" s="895">
        <v>7.75</v>
      </c>
      <c r="AK2" s="894">
        <v>8184618</v>
      </c>
      <c r="AL2" s="895">
        <v>7.76</v>
      </c>
      <c r="AM2" s="894">
        <v>8194212</v>
      </c>
      <c r="AN2" s="895">
        <v>7.77</v>
      </c>
      <c r="AO2" s="894">
        <v>8201934</v>
      </c>
      <c r="AP2" s="895">
        <v>7.79</v>
      </c>
      <c r="AQ2" s="894">
        <v>8205132</v>
      </c>
      <c r="AR2" s="895">
        <v>7.78</v>
      </c>
      <c r="AS2" s="894">
        <v>8208408</v>
      </c>
      <c r="AT2" s="895">
        <v>7.78</v>
      </c>
    </row>
    <row r="3" spans="1:46">
      <c r="A3" s="418" t="s">
        <v>129</v>
      </c>
      <c r="B3" s="58" t="s">
        <v>15</v>
      </c>
      <c r="C3" s="893">
        <v>4764698.8499999996</v>
      </c>
      <c r="D3" s="892">
        <v>4.5199999999999996</v>
      </c>
      <c r="E3" s="893">
        <v>4766726.7699999996</v>
      </c>
      <c r="F3" s="892">
        <v>4.54</v>
      </c>
      <c r="G3" s="893">
        <v>4768755.18</v>
      </c>
      <c r="H3" s="892">
        <v>4.54</v>
      </c>
      <c r="I3" s="896">
        <v>4805349.54</v>
      </c>
      <c r="J3" s="895">
        <v>4.58</v>
      </c>
      <c r="K3" s="893">
        <v>4776868.3</v>
      </c>
      <c r="L3" s="892">
        <v>4.55</v>
      </c>
      <c r="M3" s="893">
        <v>4777053.5599999996</v>
      </c>
      <c r="N3" s="892">
        <v>4.55</v>
      </c>
      <c r="O3" s="893">
        <v>4780925.09</v>
      </c>
      <c r="P3" s="892">
        <v>4.55</v>
      </c>
      <c r="Q3" s="896">
        <v>4804971.46</v>
      </c>
      <c r="R3" s="895">
        <v>4.57</v>
      </c>
      <c r="S3" s="896">
        <v>4811351.5599999996</v>
      </c>
      <c r="T3" s="895">
        <v>4.57</v>
      </c>
      <c r="U3" s="896">
        <v>4819622.0599999996</v>
      </c>
      <c r="V3" s="895">
        <v>4.59</v>
      </c>
      <c r="W3" s="896">
        <v>4794984.95</v>
      </c>
      <c r="X3" s="895">
        <v>4.5599999999999996</v>
      </c>
      <c r="Y3" s="896">
        <v>6757794</v>
      </c>
      <c r="Z3" s="895">
        <v>6.42</v>
      </c>
      <c r="AA3" s="893">
        <v>6747546.2400000002</v>
      </c>
      <c r="AB3" s="892">
        <v>6.41</v>
      </c>
      <c r="AC3" s="893">
        <v>6755766.7599999998</v>
      </c>
      <c r="AD3" s="892">
        <v>6.41</v>
      </c>
      <c r="AE3" s="893">
        <v>6757504.4000000004</v>
      </c>
      <c r="AF3" s="892">
        <v>6.41</v>
      </c>
      <c r="AG3" s="893">
        <v>6768565.5</v>
      </c>
      <c r="AH3" s="892">
        <v>6.42</v>
      </c>
      <c r="AI3" s="893">
        <v>6762116.79</v>
      </c>
      <c r="AJ3" s="892">
        <v>6.41</v>
      </c>
      <c r="AK3" s="896">
        <v>6774306</v>
      </c>
      <c r="AL3" s="895">
        <v>6.42</v>
      </c>
      <c r="AM3" s="893">
        <v>6767595.4199999999</v>
      </c>
      <c r="AN3" s="892">
        <v>6.41</v>
      </c>
      <c r="AO3" s="893">
        <v>6781171.3799999999</v>
      </c>
      <c r="AP3" s="892">
        <v>6.44</v>
      </c>
      <c r="AQ3" s="893">
        <v>6783911.3399999999</v>
      </c>
      <c r="AR3" s="892">
        <v>6.43</v>
      </c>
      <c r="AS3" s="893">
        <v>6788883</v>
      </c>
      <c r="AT3" s="892">
        <v>6.43</v>
      </c>
    </row>
    <row r="4" spans="1:46">
      <c r="A4" s="418" t="s">
        <v>137</v>
      </c>
      <c r="B4" s="58" t="s">
        <v>15</v>
      </c>
      <c r="C4" s="894">
        <v>10097602.449999999</v>
      </c>
      <c r="D4" s="895">
        <v>9.58</v>
      </c>
      <c r="E4" s="894">
        <v>10101236.859999999</v>
      </c>
      <c r="F4" s="895">
        <v>9.6300000000000008</v>
      </c>
      <c r="G4" s="894">
        <v>10104871.27</v>
      </c>
      <c r="H4" s="895">
        <v>9.6199999999999992</v>
      </c>
      <c r="I4" s="894">
        <v>10115774.5</v>
      </c>
      <c r="J4" s="895">
        <v>9.64</v>
      </c>
      <c r="K4" s="894">
        <v>10119408.91</v>
      </c>
      <c r="L4" s="895">
        <v>9.64</v>
      </c>
      <c r="M4" s="894">
        <v>10123043.32</v>
      </c>
      <c r="N4" s="895">
        <v>9.64</v>
      </c>
      <c r="O4" s="894">
        <v>10126677.73</v>
      </c>
      <c r="P4" s="895">
        <v>9.64</v>
      </c>
      <c r="Q4" s="894">
        <v>10130312.140000001</v>
      </c>
      <c r="R4" s="895">
        <v>9.64</v>
      </c>
      <c r="S4" s="894">
        <v>10141215.369999999</v>
      </c>
      <c r="T4" s="895">
        <v>9.64</v>
      </c>
      <c r="U4" s="894">
        <v>10145036.16</v>
      </c>
      <c r="V4" s="895">
        <v>9.66</v>
      </c>
      <c r="W4" s="894" t="s">
        <v>136</v>
      </c>
      <c r="X4" s="895"/>
      <c r="Y4" s="891">
        <v>4797013.3499999996</v>
      </c>
      <c r="Z4" s="892">
        <v>4.5599999999999996</v>
      </c>
      <c r="AA4" s="894">
        <v>4826143.9400000004</v>
      </c>
      <c r="AB4" s="895">
        <v>4.58</v>
      </c>
      <c r="AC4" s="894">
        <v>4832713.08</v>
      </c>
      <c r="AD4" s="895">
        <v>4.58</v>
      </c>
      <c r="AE4" s="894">
        <v>4835028.82</v>
      </c>
      <c r="AF4" s="895">
        <v>4.59</v>
      </c>
      <c r="AG4" s="894">
        <v>4837108.26</v>
      </c>
      <c r="AH4" s="895">
        <v>4.59</v>
      </c>
      <c r="AI4" s="894">
        <v>4839234.96</v>
      </c>
      <c r="AJ4" s="895">
        <v>4.58</v>
      </c>
      <c r="AK4" s="894">
        <v>4841361.66</v>
      </c>
      <c r="AL4" s="895">
        <v>4.59</v>
      </c>
      <c r="AM4" s="894">
        <v>4847647.24</v>
      </c>
      <c r="AN4" s="895">
        <v>4.59</v>
      </c>
      <c r="AO4" s="891">
        <v>4818044.5199999996</v>
      </c>
      <c r="AP4" s="892">
        <v>4.57</v>
      </c>
      <c r="AQ4" s="894">
        <v>4844197.26</v>
      </c>
      <c r="AR4" s="895">
        <v>4.59</v>
      </c>
      <c r="AS4" s="894">
        <v>4823849.9400000004</v>
      </c>
      <c r="AT4" s="895">
        <v>4.57</v>
      </c>
    </row>
    <row r="5" spans="1:46">
      <c r="A5" s="1000" t="s">
        <v>138</v>
      </c>
      <c r="B5" s="58" t="s">
        <v>15</v>
      </c>
      <c r="C5" s="896">
        <v>8112702</v>
      </c>
      <c r="D5" s="895">
        <v>7.69</v>
      </c>
      <c r="E5" s="896">
        <v>8115978</v>
      </c>
      <c r="F5" s="895">
        <v>7.73</v>
      </c>
      <c r="G5" s="893">
        <v>8115655.0800000001</v>
      </c>
      <c r="H5" s="892">
        <v>7.73</v>
      </c>
      <c r="I5" s="896">
        <v>8128848</v>
      </c>
      <c r="J5" s="895">
        <v>7.75</v>
      </c>
      <c r="K5" s="893">
        <v>8127854.2800000003</v>
      </c>
      <c r="L5" s="892">
        <v>7.74</v>
      </c>
      <c r="M5" s="893">
        <v>8182279.5599999996</v>
      </c>
      <c r="N5" s="892">
        <v>7.79</v>
      </c>
      <c r="O5" s="896">
        <v>8136024</v>
      </c>
      <c r="P5" s="895">
        <v>7.74</v>
      </c>
      <c r="Q5" s="896">
        <v>8139300</v>
      </c>
      <c r="R5" s="895">
        <v>7.74</v>
      </c>
      <c r="S5" s="896">
        <v>8149128</v>
      </c>
      <c r="T5" s="895">
        <v>7.75</v>
      </c>
      <c r="U5" s="896">
        <v>8166444</v>
      </c>
      <c r="V5" s="895">
        <v>7.77</v>
      </c>
      <c r="W5" s="896">
        <v>8169642</v>
      </c>
      <c r="X5" s="895">
        <v>7.77</v>
      </c>
      <c r="Y5" s="893">
        <v>10104059.789999999</v>
      </c>
      <c r="Z5" s="892">
        <v>9.61</v>
      </c>
      <c r="AA5" s="893">
        <v>10103166.810000001</v>
      </c>
      <c r="AB5" s="892">
        <v>9.6</v>
      </c>
      <c r="AC5" s="893">
        <v>10210167</v>
      </c>
      <c r="AD5" s="892">
        <v>9.69</v>
      </c>
      <c r="AE5" s="893">
        <v>10235214</v>
      </c>
      <c r="AF5" s="892">
        <v>9.7100000000000009</v>
      </c>
      <c r="AG5" s="893">
        <v>10130974.92</v>
      </c>
      <c r="AH5" s="892">
        <v>9.61</v>
      </c>
      <c r="AI5" s="893">
        <v>10244322</v>
      </c>
      <c r="AJ5" s="892">
        <v>9.7100000000000009</v>
      </c>
      <c r="AK5" s="896">
        <v>10248876</v>
      </c>
      <c r="AL5" s="895">
        <v>9.7200000000000006</v>
      </c>
      <c r="AM5" s="896">
        <v>10262637</v>
      </c>
      <c r="AN5" s="895">
        <v>9.73</v>
      </c>
      <c r="AO5" s="896">
        <v>10222542</v>
      </c>
      <c r="AP5" s="895">
        <v>9.6999999999999993</v>
      </c>
      <c r="AQ5" s="896">
        <v>10227195</v>
      </c>
      <c r="AR5" s="895">
        <v>9.69</v>
      </c>
      <c r="AS5" s="896">
        <v>10231947</v>
      </c>
      <c r="AT5" s="895">
        <v>9.69</v>
      </c>
    </row>
    <row r="6" spans="1:46">
      <c r="A6" s="477" t="s">
        <v>124</v>
      </c>
      <c r="B6" s="58" t="s">
        <v>15</v>
      </c>
      <c r="C6" s="979">
        <v>8243642.6600000001</v>
      </c>
      <c r="D6" s="980">
        <v>7.82</v>
      </c>
      <c r="E6" s="886">
        <v>8300832.4000000004</v>
      </c>
      <c r="F6" s="991">
        <v>7.91</v>
      </c>
      <c r="G6" s="990">
        <v>8304423.1799999997</v>
      </c>
      <c r="H6" s="200">
        <v>7.91</v>
      </c>
      <c r="I6" s="993">
        <v>8167738.8300000001</v>
      </c>
      <c r="J6" s="205">
        <v>7.78</v>
      </c>
      <c r="K6" s="995">
        <v>8292775.04</v>
      </c>
      <c r="L6" s="200">
        <v>7.9</v>
      </c>
      <c r="M6" s="995">
        <v>8296453.4000000004</v>
      </c>
      <c r="N6" s="200">
        <v>7.9</v>
      </c>
      <c r="O6" s="995">
        <v>8300131.7599999998</v>
      </c>
      <c r="P6" s="200">
        <v>7.9</v>
      </c>
      <c r="Q6" s="995">
        <v>8303722.54</v>
      </c>
      <c r="R6" s="200">
        <v>7.9</v>
      </c>
      <c r="S6" s="995">
        <v>8314670.04</v>
      </c>
      <c r="T6" s="200">
        <v>7.9</v>
      </c>
      <c r="U6" s="993">
        <v>8197443.3300000001</v>
      </c>
      <c r="V6" s="205">
        <v>7.8</v>
      </c>
      <c r="W6" s="993">
        <v>8311692.3200000003</v>
      </c>
      <c r="X6" s="205">
        <v>7.9</v>
      </c>
      <c r="Y6" s="995">
        <v>8315370.6799999997</v>
      </c>
      <c r="Z6" s="200">
        <v>7.91</v>
      </c>
      <c r="AA6" s="995">
        <v>8319136.6200000001</v>
      </c>
      <c r="AB6" s="200">
        <v>7.9</v>
      </c>
      <c r="AC6" s="995">
        <v>8270517.46</v>
      </c>
      <c r="AD6" s="200">
        <v>7.85</v>
      </c>
      <c r="AE6" s="995">
        <v>8223565.8200000003</v>
      </c>
      <c r="AF6" s="200">
        <v>7.8</v>
      </c>
      <c r="AG6" s="995">
        <v>8359598.5800000001</v>
      </c>
      <c r="AH6" s="200">
        <v>7.93</v>
      </c>
      <c r="AI6" s="995">
        <v>8363364.5199999996</v>
      </c>
      <c r="AJ6" s="200">
        <v>7.93</v>
      </c>
      <c r="AK6" s="995">
        <v>8367042.8799999999</v>
      </c>
      <c r="AL6" s="200">
        <v>7.93</v>
      </c>
      <c r="AM6" s="993">
        <v>8245931.1200000001</v>
      </c>
      <c r="AN6" s="205">
        <v>7.8100000000000005</v>
      </c>
      <c r="AO6" s="993">
        <v>8269656.5499999998</v>
      </c>
      <c r="AP6" s="205">
        <v>7.85</v>
      </c>
      <c r="AQ6" s="995">
        <v>8341557.0999999996</v>
      </c>
      <c r="AR6" s="200">
        <v>7.91</v>
      </c>
      <c r="AS6" s="995">
        <v>8345323.04</v>
      </c>
      <c r="AT6" s="200">
        <v>7.91</v>
      </c>
    </row>
    <row r="7" spans="1:46">
      <c r="A7" s="418" t="s">
        <v>130</v>
      </c>
      <c r="B7" s="58" t="s">
        <v>15</v>
      </c>
      <c r="C7" s="896">
        <v>8534054</v>
      </c>
      <c r="D7" s="895">
        <v>8.09</v>
      </c>
      <c r="E7" s="896">
        <v>8537767</v>
      </c>
      <c r="F7" s="895">
        <v>8.14</v>
      </c>
      <c r="G7" s="990">
        <v>8541480</v>
      </c>
      <c r="H7" s="200">
        <v>8.14</v>
      </c>
      <c r="I7" s="990">
        <v>8552540</v>
      </c>
      <c r="J7" s="200">
        <v>8.15</v>
      </c>
      <c r="K7" s="995">
        <v>8529630</v>
      </c>
      <c r="L7" s="200">
        <v>8.1199999999999992</v>
      </c>
      <c r="M7" s="995">
        <v>8533343</v>
      </c>
      <c r="N7" s="200">
        <v>8.1300000000000008</v>
      </c>
      <c r="O7" s="995">
        <v>8537135</v>
      </c>
      <c r="P7" s="200">
        <v>8.129999999999999</v>
      </c>
      <c r="Q7" s="995">
        <v>8540848</v>
      </c>
      <c r="R7" s="200">
        <v>8.129999999999999</v>
      </c>
      <c r="S7" s="995">
        <v>8552066</v>
      </c>
      <c r="T7" s="200">
        <v>8.1300000000000008</v>
      </c>
      <c r="U7" s="995">
        <v>8544008</v>
      </c>
      <c r="V7" s="200">
        <v>8.1300000000000008</v>
      </c>
      <c r="W7" s="995">
        <v>8547800</v>
      </c>
      <c r="X7" s="200">
        <v>8.1300000000000008</v>
      </c>
      <c r="Y7" s="995">
        <v>8551592</v>
      </c>
      <c r="Z7" s="200">
        <v>8.1300000000000008</v>
      </c>
      <c r="AA7" s="995">
        <v>8555384</v>
      </c>
      <c r="AB7" s="200">
        <v>8.1300000000000008</v>
      </c>
      <c r="AC7" s="995">
        <v>8566839</v>
      </c>
      <c r="AD7" s="200">
        <v>8.1300000000000008</v>
      </c>
      <c r="AE7" s="995">
        <v>8591724</v>
      </c>
      <c r="AF7" s="200">
        <v>8.15</v>
      </c>
      <c r="AG7" s="995">
        <v>8595516</v>
      </c>
      <c r="AH7" s="200">
        <v>8.16</v>
      </c>
      <c r="AI7" s="995">
        <v>8599308</v>
      </c>
      <c r="AJ7" s="200">
        <v>8.15</v>
      </c>
      <c r="AK7" s="995">
        <v>8603100</v>
      </c>
      <c r="AL7" s="200">
        <v>8.16</v>
      </c>
      <c r="AM7" s="995">
        <v>8614555</v>
      </c>
      <c r="AN7" s="200">
        <v>8.17</v>
      </c>
      <c r="AO7" s="995">
        <v>8574265</v>
      </c>
      <c r="AP7" s="200">
        <v>8.14</v>
      </c>
      <c r="AQ7" s="995">
        <v>8578136</v>
      </c>
      <c r="AR7" s="200">
        <v>8.1300000000000008</v>
      </c>
      <c r="AS7" s="995">
        <v>8582007</v>
      </c>
      <c r="AT7" s="200">
        <v>8.1300000000000008</v>
      </c>
    </row>
    <row r="8" spans="1:46">
      <c r="A8" s="418" t="s">
        <v>119</v>
      </c>
      <c r="B8" s="58" t="s">
        <v>15</v>
      </c>
      <c r="C8" s="896">
        <v>5151861</v>
      </c>
      <c r="D8" s="895">
        <v>4.8899999999999997</v>
      </c>
      <c r="E8" s="896">
        <v>5154088.5</v>
      </c>
      <c r="F8" s="895">
        <v>4.91</v>
      </c>
      <c r="G8" s="990">
        <v>5156316</v>
      </c>
      <c r="H8" s="200">
        <v>4.91</v>
      </c>
      <c r="I8" s="990">
        <v>5162998.5</v>
      </c>
      <c r="J8" s="200">
        <v>4.92</v>
      </c>
      <c r="K8" s="995">
        <v>5148099</v>
      </c>
      <c r="L8" s="200">
        <v>4.9000000000000004</v>
      </c>
      <c r="M8" s="993">
        <v>5069454.8899999997</v>
      </c>
      <c r="N8" s="205">
        <v>4.83</v>
      </c>
      <c r="O8" s="995">
        <v>5152603.5</v>
      </c>
      <c r="P8" s="200">
        <v>4.9000000000000004</v>
      </c>
      <c r="Q8" s="995">
        <v>5154831</v>
      </c>
      <c r="R8" s="200">
        <v>4.9000000000000004</v>
      </c>
      <c r="S8" s="995">
        <v>5161563</v>
      </c>
      <c r="T8" s="200">
        <v>4.91</v>
      </c>
      <c r="U8" s="993">
        <v>5111503.1500000004</v>
      </c>
      <c r="V8" s="205">
        <v>4.8600000000000003</v>
      </c>
      <c r="W8" s="993">
        <v>5113784.1100000003</v>
      </c>
      <c r="X8" s="205">
        <v>4.8600000000000003</v>
      </c>
      <c r="Y8" s="993">
        <v>5101908.07</v>
      </c>
      <c r="Z8" s="205">
        <v>4.8499999999999996</v>
      </c>
      <c r="AA8" s="995">
        <v>5161117.5</v>
      </c>
      <c r="AB8" s="200">
        <v>4.9000000000000004</v>
      </c>
      <c r="AC8" s="995">
        <v>5167998</v>
      </c>
      <c r="AD8" s="200">
        <v>4.9000000000000004</v>
      </c>
      <c r="AE8" s="995">
        <v>5183541</v>
      </c>
      <c r="AF8" s="200">
        <v>4.92</v>
      </c>
      <c r="AG8" s="995">
        <v>5185818</v>
      </c>
      <c r="AH8" s="200">
        <v>4.92</v>
      </c>
      <c r="AI8" s="995">
        <v>5188144.5</v>
      </c>
      <c r="AJ8" s="200">
        <v>4.92</v>
      </c>
      <c r="AK8" s="993">
        <v>5106343.7699999996</v>
      </c>
      <c r="AL8" s="205">
        <v>4.84</v>
      </c>
      <c r="AM8" s="995">
        <v>5197351.5</v>
      </c>
      <c r="AN8" s="200">
        <v>4.93</v>
      </c>
      <c r="AO8" s="993">
        <v>5115615.62</v>
      </c>
      <c r="AP8" s="205">
        <v>4.8500000000000005</v>
      </c>
      <c r="AQ8" s="993">
        <v>5149131.07</v>
      </c>
      <c r="AR8" s="205">
        <v>4.88</v>
      </c>
      <c r="AS8" s="993">
        <v>5176611</v>
      </c>
      <c r="AT8" s="205">
        <v>4.9000000000000004</v>
      </c>
    </row>
    <row r="9" spans="1:46" ht="16.5" thickBot="1">
      <c r="A9" s="1020" t="s">
        <v>113</v>
      </c>
      <c r="B9" s="1048"/>
      <c r="C9" s="62">
        <f t="shared" ref="C9:D9" si="0">SUM(C2:C8)</f>
        <v>51614947.459999993</v>
      </c>
      <c r="D9" s="897">
        <f t="shared" si="0"/>
        <v>48.95</v>
      </c>
      <c r="E9" s="62">
        <f t="shared" ref="E9:F9" si="1">SUM(E2:E8)</f>
        <v>51663981.149999999</v>
      </c>
      <c r="F9" s="897">
        <f t="shared" si="1"/>
        <v>49.230000000000004</v>
      </c>
      <c r="G9" s="62">
        <f t="shared" ref="G9:H9" si="2">SUM(G2:G8)</f>
        <v>51707627.710000001</v>
      </c>
      <c r="H9" s="897">
        <f t="shared" si="2"/>
        <v>49.25</v>
      </c>
      <c r="I9" s="62">
        <f t="shared" ref="I9:J9" si="3">SUM(I2:I8)</f>
        <v>51639365.969999999</v>
      </c>
      <c r="J9" s="897">
        <f t="shared" si="3"/>
        <v>49.21</v>
      </c>
      <c r="K9" s="62">
        <f t="shared" ref="K9:L9" si="4">SUM(K2:K8)</f>
        <v>51707257.600000001</v>
      </c>
      <c r="L9" s="897">
        <f t="shared" si="4"/>
        <v>49.239999999999995</v>
      </c>
      <c r="M9" s="62">
        <f t="shared" ref="M9:N9" si="5">SUM(M2:M8)</f>
        <v>51704963.890000001</v>
      </c>
      <c r="N9" s="897">
        <f t="shared" si="5"/>
        <v>49.24</v>
      </c>
      <c r="O9" s="62">
        <f t="shared" ref="O9:P9" si="6">SUM(O2:O8)</f>
        <v>51758718.579999998</v>
      </c>
      <c r="P9" s="897">
        <f t="shared" si="6"/>
        <v>49.26</v>
      </c>
      <c r="Q9" s="62">
        <f t="shared" ref="Q9:R9" si="7">SUM(Q2:Q8)</f>
        <v>51802109.140000001</v>
      </c>
      <c r="R9" s="897">
        <f t="shared" si="7"/>
        <v>49.279999999999994</v>
      </c>
      <c r="S9" s="62">
        <f t="shared" ref="S9:T9" si="8">SUM(S2:S8)</f>
        <v>51866825.469999999</v>
      </c>
      <c r="T9" s="897">
        <f t="shared" si="8"/>
        <v>49.3</v>
      </c>
      <c r="U9" s="62">
        <f t="shared" ref="U9:V9" si="9">SUM(U2:U8)</f>
        <v>51735981.199999996</v>
      </c>
      <c r="V9" s="897">
        <f t="shared" si="9"/>
        <v>49.24</v>
      </c>
      <c r="W9" s="62">
        <f t="shared" ref="W9:X9" si="10">SUM(W2:W8)</f>
        <v>41692794.879999995</v>
      </c>
      <c r="X9" s="897">
        <f t="shared" si="10"/>
        <v>39.64</v>
      </c>
      <c r="Y9" s="62">
        <f t="shared" ref="Y9:Z9" si="11">SUM(Y2:Y8)</f>
        <v>51800577.890000001</v>
      </c>
      <c r="Z9" s="897">
        <f t="shared" si="11"/>
        <v>49.25</v>
      </c>
      <c r="AA9" s="62">
        <f t="shared" ref="AA9:AB9" si="12">SUM(AA2:AA8)</f>
        <v>51888533.109999999</v>
      </c>
      <c r="AB9" s="897">
        <f t="shared" si="12"/>
        <v>49.29</v>
      </c>
      <c r="AC9" s="62">
        <f t="shared" ref="AC9:AD9" si="13">SUM(AC2:AC8)</f>
        <v>51989555.299999997</v>
      </c>
      <c r="AD9" s="897">
        <f t="shared" si="13"/>
        <v>49.33</v>
      </c>
      <c r="AE9" s="62">
        <f t="shared" ref="AE9:AF9" si="14">SUM(AE2:AE8)</f>
        <v>52001524.039999999</v>
      </c>
      <c r="AF9" s="897">
        <f t="shared" si="14"/>
        <v>49.33</v>
      </c>
      <c r="AG9" s="62">
        <f t="shared" ref="AG9:AH9" si="15">SUM(AG2:AG8)</f>
        <v>52055725.259999998</v>
      </c>
      <c r="AH9" s="897">
        <f t="shared" si="15"/>
        <v>49.39</v>
      </c>
      <c r="AI9" s="62">
        <f t="shared" ref="AI9:AJ9" si="16">SUM(AI2:AI8)</f>
        <v>52177832.769999996</v>
      </c>
      <c r="AJ9" s="897">
        <f t="shared" si="16"/>
        <v>49.45</v>
      </c>
      <c r="AK9" s="62">
        <f t="shared" ref="AK9:AL9" si="17">SUM(AK2:AK8)</f>
        <v>52125648.310000002</v>
      </c>
      <c r="AL9" s="897">
        <f t="shared" si="17"/>
        <v>49.42</v>
      </c>
      <c r="AM9" s="62">
        <f t="shared" ref="AM9:AN9" si="18">SUM(AM2:AM8)</f>
        <v>52129929.280000001</v>
      </c>
      <c r="AN9" s="897">
        <f t="shared" si="18"/>
        <v>49.410000000000004</v>
      </c>
      <c r="AO9" s="62">
        <f t="shared" ref="AO9:AP9" si="19">SUM(AO2:AO8)</f>
        <v>51983229.069999993</v>
      </c>
      <c r="AP9" s="897">
        <f t="shared" si="19"/>
        <v>49.34</v>
      </c>
      <c r="AQ9" s="62">
        <f t="shared" ref="AQ9:AR9" si="20">SUM(AQ2:AQ8)</f>
        <v>52129259.770000003</v>
      </c>
      <c r="AR9" s="897">
        <f t="shared" si="20"/>
        <v>49.410000000000011</v>
      </c>
      <c r="AS9" s="62">
        <f t="shared" ref="AS9:AT9" si="21">SUM(AS2:AS8)</f>
        <v>52157028.980000004</v>
      </c>
      <c r="AT9" s="897">
        <f t="shared" si="21"/>
        <v>49.41</v>
      </c>
    </row>
    <row r="10" spans="1:46" ht="15">
      <c r="A10" s="420" t="s">
        <v>38</v>
      </c>
      <c r="B10" s="420" t="s">
        <v>39</v>
      </c>
      <c r="C10" s="898">
        <v>4147063.2</v>
      </c>
      <c r="D10" s="899">
        <v>3.93</v>
      </c>
      <c r="E10" s="898">
        <v>4148846.4</v>
      </c>
      <c r="F10" s="899">
        <v>3.95</v>
      </c>
      <c r="G10" s="898">
        <v>4150630</v>
      </c>
      <c r="H10" s="899">
        <v>3.95</v>
      </c>
      <c r="I10" s="898">
        <v>4155985.6</v>
      </c>
      <c r="J10" s="899">
        <v>3.96</v>
      </c>
      <c r="K10" s="898">
        <v>4157772.4</v>
      </c>
      <c r="L10" s="899">
        <v>3.96</v>
      </c>
      <c r="M10" s="898">
        <v>4000000</v>
      </c>
      <c r="N10" s="899">
        <v>3.81</v>
      </c>
      <c r="O10" s="898">
        <v>4001719.6</v>
      </c>
      <c r="P10" s="899">
        <v>3.81</v>
      </c>
      <c r="Q10" s="898">
        <v>4003440</v>
      </c>
      <c r="R10" s="899">
        <v>3.81</v>
      </c>
      <c r="S10" s="898">
        <v>4008606</v>
      </c>
      <c r="T10" s="899">
        <v>3.81</v>
      </c>
      <c r="U10" s="898">
        <v>4010329.2</v>
      </c>
      <c r="V10" s="899">
        <v>3.82</v>
      </c>
      <c r="W10" s="898">
        <v>4012053.6</v>
      </c>
      <c r="X10" s="899">
        <v>3.82</v>
      </c>
      <c r="Y10" s="898">
        <v>4013778.4</v>
      </c>
      <c r="Z10" s="899">
        <v>3.82</v>
      </c>
      <c r="AA10" s="898">
        <v>4015504</v>
      </c>
      <c r="AB10" s="899">
        <v>3.81</v>
      </c>
      <c r="AC10" s="898">
        <v>4020685.2</v>
      </c>
      <c r="AD10" s="899">
        <v>3.81</v>
      </c>
      <c r="AE10" s="898">
        <v>4022414</v>
      </c>
      <c r="AF10" s="899">
        <v>3.82</v>
      </c>
      <c r="AG10" s="898">
        <v>4024143.2</v>
      </c>
      <c r="AH10" s="899">
        <v>3.82</v>
      </c>
      <c r="AI10" s="898">
        <v>4025873.2</v>
      </c>
      <c r="AJ10" s="899">
        <v>3.82</v>
      </c>
      <c r="AK10" s="898">
        <v>4027604.4</v>
      </c>
      <c r="AL10" s="899">
        <v>3.82</v>
      </c>
      <c r="AM10" s="898">
        <v>4032801.2</v>
      </c>
      <c r="AN10" s="899">
        <v>3.82</v>
      </c>
      <c r="AO10" s="898">
        <v>4034534.8</v>
      </c>
      <c r="AP10" s="899">
        <v>3.83</v>
      </c>
      <c r="AQ10" s="898">
        <v>4036269.6</v>
      </c>
      <c r="AR10" s="899">
        <v>3.83</v>
      </c>
      <c r="AS10" s="898">
        <v>4038004.8</v>
      </c>
      <c r="AT10" s="899">
        <v>3.83</v>
      </c>
    </row>
    <row r="11" spans="1:46" ht="15">
      <c r="A11" s="421" t="s">
        <v>98</v>
      </c>
      <c r="B11" s="421" t="s">
        <v>99</v>
      </c>
      <c r="C11" s="898">
        <v>3057699.6</v>
      </c>
      <c r="D11" s="899">
        <v>2.9</v>
      </c>
      <c r="E11" s="898">
        <v>3059054.4</v>
      </c>
      <c r="F11" s="899">
        <v>2.92</v>
      </c>
      <c r="G11" s="898">
        <v>3060410.1</v>
      </c>
      <c r="H11" s="899">
        <v>2.92</v>
      </c>
      <c r="I11" s="898">
        <v>3064480.5</v>
      </c>
      <c r="J11" s="899">
        <v>2.92</v>
      </c>
      <c r="K11" s="898">
        <v>3065838.3</v>
      </c>
      <c r="L11" s="899">
        <v>2.92</v>
      </c>
      <c r="M11" s="898">
        <v>3067197</v>
      </c>
      <c r="N11" s="899">
        <v>2.92</v>
      </c>
      <c r="O11" s="898">
        <v>3068556</v>
      </c>
      <c r="P11" s="899">
        <v>2.92</v>
      </c>
      <c r="Q11" s="898">
        <v>3069915.9</v>
      </c>
      <c r="R11" s="899">
        <v>2.92</v>
      </c>
      <c r="S11" s="898">
        <v>3073998.9</v>
      </c>
      <c r="T11" s="899">
        <v>2.92</v>
      </c>
      <c r="U11" s="898">
        <v>3075360.9</v>
      </c>
      <c r="V11" s="899">
        <v>2.93</v>
      </c>
      <c r="W11" s="898">
        <v>3076723.8</v>
      </c>
      <c r="X11" s="899">
        <v>2.93</v>
      </c>
      <c r="Y11" s="898">
        <v>3078087.3</v>
      </c>
      <c r="Z11" s="899">
        <v>2.93</v>
      </c>
      <c r="AA11" s="898">
        <v>3079451.1</v>
      </c>
      <c r="AB11" s="899">
        <v>2.9299999999999997</v>
      </c>
      <c r="AC11" s="898">
        <v>3083547</v>
      </c>
      <c r="AD11" s="899">
        <v>2.93</v>
      </c>
      <c r="AE11" s="898">
        <v>3084913.2</v>
      </c>
      <c r="AF11" s="899">
        <v>2.93</v>
      </c>
      <c r="AG11" s="898">
        <v>3086280.3</v>
      </c>
      <c r="AH11" s="899">
        <v>2.93</v>
      </c>
      <c r="AI11" s="898">
        <v>3087648</v>
      </c>
      <c r="AJ11" s="899">
        <v>2.93</v>
      </c>
      <c r="AK11" s="898">
        <v>3089016.3</v>
      </c>
      <c r="AL11" s="899">
        <v>2.93</v>
      </c>
      <c r="AM11" s="898">
        <v>3093124.5</v>
      </c>
      <c r="AN11" s="899">
        <v>2.93</v>
      </c>
      <c r="AO11" s="898">
        <v>3094495.2</v>
      </c>
      <c r="AP11" s="899">
        <v>2.94</v>
      </c>
      <c r="AQ11" s="898">
        <v>3095866.5</v>
      </c>
      <c r="AR11" s="899">
        <v>2.93</v>
      </c>
      <c r="AS11" s="898">
        <v>3097238.4</v>
      </c>
      <c r="AT11" s="899">
        <v>2.93</v>
      </c>
    </row>
    <row r="12" spans="1:46" ht="15">
      <c r="A12" s="422" t="s">
        <v>117</v>
      </c>
      <c r="B12" s="421" t="s">
        <v>134</v>
      </c>
      <c r="C12" s="898">
        <v>496168.56</v>
      </c>
      <c r="D12" s="899">
        <v>0.47</v>
      </c>
      <c r="E12" s="762">
        <v>496393.42</v>
      </c>
      <c r="F12" s="763">
        <v>0.47</v>
      </c>
      <c r="G12" s="762">
        <v>496618.33</v>
      </c>
      <c r="H12" s="763">
        <v>0.47</v>
      </c>
      <c r="I12" s="762">
        <v>497293.79</v>
      </c>
      <c r="J12" s="763">
        <v>0.47</v>
      </c>
      <c r="K12" s="762">
        <v>497519.15</v>
      </c>
      <c r="L12" s="763">
        <v>0.47</v>
      </c>
      <c r="M12" s="762">
        <v>497744.65</v>
      </c>
      <c r="N12" s="763">
        <v>0.47</v>
      </c>
      <c r="O12" s="762">
        <v>497970.2</v>
      </c>
      <c r="P12" s="763">
        <v>0.47</v>
      </c>
      <c r="Q12" s="762">
        <v>498195.84</v>
      </c>
      <c r="R12" s="763">
        <v>0.47</v>
      </c>
      <c r="S12" s="762">
        <v>498873.46</v>
      </c>
      <c r="T12" s="763">
        <v>0.48</v>
      </c>
      <c r="U12" s="762">
        <v>499099.55</v>
      </c>
      <c r="V12" s="763">
        <v>0.47</v>
      </c>
      <c r="W12" s="762">
        <v>499325.73</v>
      </c>
      <c r="X12" s="763">
        <v>0.47</v>
      </c>
      <c r="Y12" s="762">
        <v>499552.01</v>
      </c>
      <c r="Z12" s="763">
        <v>0.47</v>
      </c>
      <c r="AA12" s="762">
        <v>499778.39</v>
      </c>
      <c r="AB12" s="763">
        <v>0.48</v>
      </c>
      <c r="AC12" s="762">
        <v>500458.12</v>
      </c>
      <c r="AD12" s="763">
        <v>0.48</v>
      </c>
      <c r="AE12" s="762">
        <v>500684.94</v>
      </c>
      <c r="AF12" s="763">
        <v>0.47</v>
      </c>
      <c r="AG12" s="762">
        <v>500911.81</v>
      </c>
      <c r="AH12" s="763">
        <v>0.47</v>
      </c>
      <c r="AI12" s="762">
        <v>501138.83</v>
      </c>
      <c r="AJ12" s="763">
        <v>0.47</v>
      </c>
      <c r="AK12" s="762">
        <v>501365.94</v>
      </c>
      <c r="AL12" s="763">
        <v>0.47</v>
      </c>
      <c r="AM12" s="762">
        <v>502047.83</v>
      </c>
      <c r="AN12" s="763">
        <v>0.48</v>
      </c>
      <c r="AO12" s="762">
        <v>502275.33</v>
      </c>
      <c r="AP12" s="763">
        <v>0.48</v>
      </c>
      <c r="AQ12" s="762">
        <v>502502.99</v>
      </c>
      <c r="AR12" s="763">
        <v>0.48</v>
      </c>
      <c r="AS12" s="762">
        <v>502730.69</v>
      </c>
      <c r="AT12" s="763">
        <v>0.48</v>
      </c>
    </row>
    <row r="13" spans="1:46" thickBot="1">
      <c r="A13" s="422" t="s">
        <v>117</v>
      </c>
      <c r="B13" s="421" t="s">
        <v>135</v>
      </c>
      <c r="C13" s="901">
        <v>2084013.2</v>
      </c>
      <c r="D13" s="895">
        <v>1.98</v>
      </c>
      <c r="E13" s="992">
        <v>2084900</v>
      </c>
      <c r="F13" s="200">
        <v>1.99</v>
      </c>
      <c r="G13" s="992">
        <v>2085787.2</v>
      </c>
      <c r="H13" s="200">
        <v>1.99</v>
      </c>
      <c r="I13" s="992">
        <v>2088451.2</v>
      </c>
      <c r="J13" s="200">
        <v>1.99</v>
      </c>
      <c r="K13" s="992">
        <v>2089340</v>
      </c>
      <c r="L13" s="200">
        <v>1.99</v>
      </c>
      <c r="M13" s="992">
        <v>2090229</v>
      </c>
      <c r="N13" s="200">
        <v>1.99</v>
      </c>
      <c r="O13" s="992">
        <v>2091118.6</v>
      </c>
      <c r="P13" s="200">
        <v>1.99</v>
      </c>
      <c r="Q13" s="992">
        <v>2092008.4</v>
      </c>
      <c r="R13" s="200">
        <v>1.99</v>
      </c>
      <c r="S13" s="992">
        <v>2094680.4</v>
      </c>
      <c r="T13" s="200">
        <v>1.99</v>
      </c>
      <c r="U13" s="992">
        <v>2095571.8</v>
      </c>
      <c r="V13" s="200">
        <v>1.99</v>
      </c>
      <c r="W13" s="992">
        <v>2096463.4</v>
      </c>
      <c r="X13" s="200">
        <v>1.99</v>
      </c>
      <c r="Y13" s="992">
        <v>2097355.6</v>
      </c>
      <c r="Z13" s="200">
        <v>1.99</v>
      </c>
      <c r="AA13" s="992">
        <v>2098248.2000000002</v>
      </c>
      <c r="AB13" s="200">
        <v>1.99</v>
      </c>
      <c r="AC13" s="992">
        <v>2100928</v>
      </c>
      <c r="AD13" s="200">
        <v>1.99</v>
      </c>
      <c r="AE13" s="992">
        <v>2101822</v>
      </c>
      <c r="AF13" s="200">
        <v>1.99</v>
      </c>
      <c r="AG13" s="992">
        <v>2102716.4</v>
      </c>
      <c r="AH13" s="200">
        <v>2</v>
      </c>
      <c r="AI13" s="992">
        <v>2103611.4</v>
      </c>
      <c r="AJ13" s="200">
        <v>1.99</v>
      </c>
      <c r="AK13" s="992">
        <v>2104506.4</v>
      </c>
      <c r="AL13" s="200">
        <v>2</v>
      </c>
      <c r="AM13" s="992">
        <v>2107194.4</v>
      </c>
      <c r="AN13" s="200">
        <v>2</v>
      </c>
      <c r="AO13" s="992">
        <v>2108091</v>
      </c>
      <c r="AP13" s="200">
        <v>2</v>
      </c>
      <c r="AQ13" s="992">
        <v>2108988.2000000002</v>
      </c>
      <c r="AR13" s="200">
        <v>2</v>
      </c>
      <c r="AS13" s="992">
        <v>2109885.6</v>
      </c>
      <c r="AT13" s="200">
        <v>2</v>
      </c>
    </row>
    <row r="14" spans="1:46" ht="16.5" thickBot="1">
      <c r="A14" s="1022" t="s">
        <v>114</v>
      </c>
      <c r="B14" s="1047"/>
      <c r="C14" s="902">
        <f t="shared" ref="C14:J14" si="22">SUM(C10:C13)</f>
        <v>9784944.5600000005</v>
      </c>
      <c r="D14" s="903">
        <f t="shared" si="22"/>
        <v>9.2799999999999994</v>
      </c>
      <c r="E14" s="902">
        <f t="shared" si="22"/>
        <v>9789194.2199999988</v>
      </c>
      <c r="F14" s="903">
        <f t="shared" si="22"/>
        <v>9.33</v>
      </c>
      <c r="G14" s="902">
        <f t="shared" si="22"/>
        <v>9793445.629999999</v>
      </c>
      <c r="H14" s="903">
        <f t="shared" si="22"/>
        <v>9.33</v>
      </c>
      <c r="I14" s="902">
        <f t="shared" si="22"/>
        <v>9806211.0899999999</v>
      </c>
      <c r="J14" s="903">
        <f t="shared" si="22"/>
        <v>9.34</v>
      </c>
      <c r="K14" s="902">
        <f t="shared" ref="K14:M14" si="23">SUM(K10:K13)</f>
        <v>9810469.8499999996</v>
      </c>
      <c r="L14" s="903">
        <f t="shared" ref="L14:O14" si="24">SUM(L10:L13)</f>
        <v>9.34</v>
      </c>
      <c r="M14" s="902">
        <f t="shared" si="23"/>
        <v>9655170.6500000004</v>
      </c>
      <c r="N14" s="903">
        <f t="shared" si="24"/>
        <v>9.19</v>
      </c>
      <c r="O14" s="902">
        <f t="shared" si="24"/>
        <v>9659364.4000000004</v>
      </c>
      <c r="P14" s="903">
        <f t="shared" ref="P14:Q14" si="25">SUM(P10:P13)</f>
        <v>9.19</v>
      </c>
      <c r="Q14" s="902">
        <f t="shared" si="25"/>
        <v>9663560.1400000006</v>
      </c>
      <c r="R14" s="903">
        <f t="shared" ref="R14:S14" si="26">SUM(R10:R13)</f>
        <v>9.19</v>
      </c>
      <c r="S14" s="902">
        <f t="shared" si="26"/>
        <v>9676158.7599999998</v>
      </c>
      <c r="T14" s="903">
        <f t="shared" ref="T14:U14" si="27">SUM(T10:T13)</f>
        <v>9.2000000000000011</v>
      </c>
      <c r="U14" s="902">
        <f t="shared" si="27"/>
        <v>9680361.4499999993</v>
      </c>
      <c r="V14" s="903">
        <f t="shared" ref="V14:W14" si="28">SUM(V10:V13)</f>
        <v>9.2099999999999991</v>
      </c>
      <c r="W14" s="902">
        <f t="shared" si="28"/>
        <v>9684566.5300000012</v>
      </c>
      <c r="X14" s="903">
        <f t="shared" ref="X14:Y14" si="29">SUM(X10:X13)</f>
        <v>9.2099999999999991</v>
      </c>
      <c r="Y14" s="902">
        <f t="shared" si="29"/>
        <v>9688773.3099999987</v>
      </c>
      <c r="Z14" s="903">
        <f t="shared" ref="Z14:AA14" si="30">SUM(Z10:Z13)</f>
        <v>9.2099999999999991</v>
      </c>
      <c r="AA14" s="902">
        <f t="shared" si="30"/>
        <v>9692981.6899999995</v>
      </c>
      <c r="AB14" s="903">
        <f t="shared" ref="AB14:AC14" si="31">SUM(AB10:AB13)</f>
        <v>9.2100000000000009</v>
      </c>
      <c r="AC14" s="902">
        <f t="shared" si="31"/>
        <v>9705618.3200000003</v>
      </c>
      <c r="AD14" s="903">
        <f t="shared" ref="AD14:AE14" si="32">SUM(AD10:AD13)</f>
        <v>9.2100000000000009</v>
      </c>
      <c r="AE14" s="902">
        <f t="shared" si="32"/>
        <v>9709834.1400000006</v>
      </c>
      <c r="AF14" s="903">
        <f t="shared" ref="AF14:AG14" si="33">SUM(AF10:AF13)</f>
        <v>9.2099999999999991</v>
      </c>
      <c r="AG14" s="902">
        <f t="shared" si="33"/>
        <v>9714051.709999999</v>
      </c>
      <c r="AH14" s="903">
        <f t="shared" ref="AH14:AI14" si="34">SUM(AH10:AH13)</f>
        <v>9.2199999999999989</v>
      </c>
      <c r="AI14" s="902">
        <f t="shared" si="34"/>
        <v>9718271.4299999997</v>
      </c>
      <c r="AJ14" s="903">
        <f t="shared" ref="AJ14:AK14" si="35">SUM(AJ10:AJ13)</f>
        <v>9.2099999999999991</v>
      </c>
      <c r="AK14" s="902">
        <f t="shared" si="35"/>
        <v>9722493.0399999991</v>
      </c>
      <c r="AL14" s="903">
        <f t="shared" ref="AL14:AM14" si="36">SUM(AL10:AL13)</f>
        <v>9.2199999999999989</v>
      </c>
      <c r="AM14" s="902">
        <f t="shared" si="36"/>
        <v>9735167.9299999997</v>
      </c>
      <c r="AN14" s="903">
        <f t="shared" ref="AN14:AO14" si="37">SUM(AN10:AN13)</f>
        <v>9.23</v>
      </c>
      <c r="AO14" s="902">
        <f t="shared" si="37"/>
        <v>9739396.3300000001</v>
      </c>
      <c r="AP14" s="903">
        <f t="shared" ref="AP14:AQ14" si="38">SUM(AP10:AP13)</f>
        <v>9.25</v>
      </c>
      <c r="AQ14" s="902">
        <f t="shared" si="38"/>
        <v>9743627.2899999991</v>
      </c>
      <c r="AR14" s="903">
        <f t="shared" ref="AR14:AS14" si="39">SUM(AR10:AR13)</f>
        <v>9.24</v>
      </c>
      <c r="AS14" s="902">
        <f t="shared" si="39"/>
        <v>9747859.4900000002</v>
      </c>
      <c r="AT14" s="903">
        <f t="shared" ref="AT14" si="40">SUM(AT10:AT13)</f>
        <v>9.24</v>
      </c>
    </row>
    <row r="15" spans="1:46" ht="31.5">
      <c r="A15" s="77" t="s">
        <v>41</v>
      </c>
      <c r="B15" s="78" t="s">
        <v>42</v>
      </c>
      <c r="C15" s="904"/>
      <c r="D15" s="905"/>
      <c r="E15" s="904"/>
      <c r="F15" s="905"/>
      <c r="G15" s="904"/>
      <c r="H15" s="905"/>
      <c r="I15" s="904"/>
      <c r="J15" s="905"/>
      <c r="K15" s="904"/>
      <c r="L15" s="905"/>
      <c r="M15" s="904"/>
      <c r="N15" s="905"/>
      <c r="O15" s="904"/>
      <c r="P15" s="905"/>
      <c r="Q15" s="904"/>
      <c r="R15" s="905"/>
      <c r="S15" s="904"/>
      <c r="T15" s="905"/>
      <c r="U15" s="904"/>
      <c r="V15" s="905"/>
      <c r="W15" s="904"/>
      <c r="X15" s="905"/>
      <c r="Y15" s="904"/>
      <c r="Z15" s="905"/>
      <c r="AA15" s="904"/>
      <c r="AB15" s="905"/>
      <c r="AC15" s="904"/>
      <c r="AD15" s="905"/>
      <c r="AE15" s="904"/>
      <c r="AF15" s="905"/>
      <c r="AG15" s="904"/>
      <c r="AH15" s="905"/>
      <c r="AI15" s="904"/>
      <c r="AJ15" s="905"/>
      <c r="AK15" s="904"/>
      <c r="AL15" s="905"/>
      <c r="AM15" s="904"/>
      <c r="AN15" s="905"/>
      <c r="AO15" s="904"/>
      <c r="AP15" s="905"/>
      <c r="AQ15" s="904"/>
      <c r="AR15" s="905"/>
      <c r="AS15" s="904"/>
      <c r="AT15" s="905"/>
    </row>
    <row r="16" spans="1:46" ht="16.5" thickBot="1">
      <c r="A16" s="460">
        <v>22048622</v>
      </c>
      <c r="B16" s="461" t="s">
        <v>121</v>
      </c>
      <c r="C16" s="906">
        <v>1706400</v>
      </c>
      <c r="D16" s="905">
        <v>1.62</v>
      </c>
      <c r="E16" s="906">
        <v>1706400</v>
      </c>
      <c r="F16" s="905">
        <v>1.63</v>
      </c>
      <c r="G16" s="906">
        <v>1706400</v>
      </c>
      <c r="H16" s="905">
        <v>1.63</v>
      </c>
      <c r="I16" s="906">
        <v>1706400</v>
      </c>
      <c r="J16" s="905">
        <v>1.63</v>
      </c>
      <c r="K16" s="906">
        <v>1706400</v>
      </c>
      <c r="L16" s="905">
        <v>1.63</v>
      </c>
      <c r="M16" s="906">
        <v>1706400</v>
      </c>
      <c r="N16" s="905">
        <v>1.63</v>
      </c>
      <c r="O16" s="906">
        <v>1706400</v>
      </c>
      <c r="P16" s="905">
        <v>1.63</v>
      </c>
      <c r="Q16" s="906">
        <v>1706400</v>
      </c>
      <c r="R16" s="905">
        <v>1.63</v>
      </c>
      <c r="S16" s="906">
        <v>1706400</v>
      </c>
      <c r="T16" s="905">
        <v>1.63</v>
      </c>
      <c r="U16" s="906">
        <v>1706400</v>
      </c>
      <c r="V16" s="905">
        <v>1.63</v>
      </c>
      <c r="W16" s="906">
        <v>1706400</v>
      </c>
      <c r="X16" s="905">
        <v>1.61</v>
      </c>
      <c r="Y16" s="906">
        <v>1706400</v>
      </c>
      <c r="Z16" s="905">
        <v>1.61</v>
      </c>
      <c r="AA16" s="906">
        <v>1706400</v>
      </c>
      <c r="AB16" s="905">
        <v>1.61</v>
      </c>
      <c r="AC16" s="906">
        <v>1706400</v>
      </c>
      <c r="AD16" s="905">
        <v>1.62</v>
      </c>
      <c r="AE16" s="906">
        <v>1706400</v>
      </c>
      <c r="AF16" s="905">
        <v>1.62</v>
      </c>
      <c r="AG16" s="906">
        <v>1706400</v>
      </c>
      <c r="AH16" s="905">
        <v>1.62</v>
      </c>
      <c r="AI16" s="906">
        <v>1706400</v>
      </c>
      <c r="AJ16" s="905">
        <v>1.62</v>
      </c>
      <c r="AK16" s="906">
        <v>1706400</v>
      </c>
      <c r="AL16" s="905">
        <v>1.62</v>
      </c>
      <c r="AM16" s="906">
        <v>1706400</v>
      </c>
      <c r="AN16" s="905">
        <v>1.62</v>
      </c>
      <c r="AO16" s="906">
        <v>1706400</v>
      </c>
      <c r="AP16" s="905">
        <v>1.62</v>
      </c>
      <c r="AQ16" s="906">
        <v>1706400</v>
      </c>
      <c r="AR16" s="905">
        <v>1.62</v>
      </c>
      <c r="AS16" s="906">
        <v>1706400</v>
      </c>
      <c r="AT16" s="905">
        <v>1.62</v>
      </c>
    </row>
    <row r="17" spans="1:46" ht="16.5" thickBot="1">
      <c r="A17" s="1039" t="s">
        <v>112</v>
      </c>
      <c r="B17" s="1039"/>
      <c r="C17" s="95">
        <f>SUM(C15:C16)</f>
        <v>1706400</v>
      </c>
      <c r="D17" s="907">
        <f>D16</f>
        <v>1.62</v>
      </c>
      <c r="E17" s="95">
        <f>SUM(E15:E16)</f>
        <v>1706400</v>
      </c>
      <c r="F17" s="907">
        <f>F16</f>
        <v>1.63</v>
      </c>
      <c r="G17" s="95">
        <f>SUM(G15:G16)</f>
        <v>1706400</v>
      </c>
      <c r="H17" s="907">
        <f>H16</f>
        <v>1.63</v>
      </c>
      <c r="I17" s="95">
        <f>SUM(I15:I16)</f>
        <v>1706400</v>
      </c>
      <c r="J17" s="907">
        <f>J16</f>
        <v>1.63</v>
      </c>
      <c r="K17" s="95">
        <f>SUM(K15:K16)</f>
        <v>1706400</v>
      </c>
      <c r="L17" s="907">
        <f>L16</f>
        <v>1.63</v>
      </c>
      <c r="M17" s="95">
        <f>SUM(M15:M16)</f>
        <v>1706400</v>
      </c>
      <c r="N17" s="907">
        <f>N16</f>
        <v>1.63</v>
      </c>
      <c r="O17" s="95">
        <f>SUM(O15:O16)</f>
        <v>1706400</v>
      </c>
      <c r="P17" s="907">
        <f>P16</f>
        <v>1.63</v>
      </c>
      <c r="Q17" s="95">
        <f>SUM(Q15:Q16)</f>
        <v>1706400</v>
      </c>
      <c r="R17" s="907">
        <f>R16</f>
        <v>1.63</v>
      </c>
      <c r="S17" s="95">
        <f>SUM(S15:S16)</f>
        <v>1706400</v>
      </c>
      <c r="T17" s="907">
        <f>T16</f>
        <v>1.63</v>
      </c>
      <c r="U17" s="95">
        <f>SUM(U15:U16)</f>
        <v>1706400</v>
      </c>
      <c r="V17" s="907">
        <f>V16</f>
        <v>1.63</v>
      </c>
      <c r="W17" s="95">
        <f>SUM(W15:W16)</f>
        <v>1706400</v>
      </c>
      <c r="X17" s="907">
        <f>X16</f>
        <v>1.61</v>
      </c>
      <c r="Y17" s="95">
        <f>SUM(Y15:Y16)</f>
        <v>1706400</v>
      </c>
      <c r="Z17" s="907">
        <f>Z16</f>
        <v>1.61</v>
      </c>
      <c r="AA17" s="95">
        <f>SUM(AA15:AA16)</f>
        <v>1706400</v>
      </c>
      <c r="AB17" s="907">
        <f>AB16</f>
        <v>1.61</v>
      </c>
      <c r="AC17" s="95">
        <f>SUM(AC15:AC16)</f>
        <v>1706400</v>
      </c>
      <c r="AD17" s="907">
        <f>AD16</f>
        <v>1.62</v>
      </c>
      <c r="AE17" s="95">
        <f>SUM(AE15:AE16)</f>
        <v>1706400</v>
      </c>
      <c r="AF17" s="907">
        <f>AF16</f>
        <v>1.62</v>
      </c>
      <c r="AG17" s="95">
        <f>SUM(AG15:AG16)</f>
        <v>1706400</v>
      </c>
      <c r="AH17" s="907">
        <f>AH16</f>
        <v>1.62</v>
      </c>
      <c r="AI17" s="95">
        <f>SUM(AI15:AI16)</f>
        <v>1706400</v>
      </c>
      <c r="AJ17" s="907">
        <f>AJ16</f>
        <v>1.62</v>
      </c>
      <c r="AK17" s="95">
        <f>SUM(AK15:AK16)</f>
        <v>1706400</v>
      </c>
      <c r="AL17" s="907">
        <f>AL16</f>
        <v>1.62</v>
      </c>
      <c r="AM17" s="95">
        <f>SUM(AM15:AM16)</f>
        <v>1706400</v>
      </c>
      <c r="AN17" s="907">
        <f>AN16</f>
        <v>1.62</v>
      </c>
      <c r="AO17" s="95">
        <f>SUM(AO15:AO16)</f>
        <v>1706400</v>
      </c>
      <c r="AP17" s="907">
        <f>AP16</f>
        <v>1.62</v>
      </c>
      <c r="AQ17" s="95">
        <f>SUM(AQ15:AQ16)</f>
        <v>1706400</v>
      </c>
      <c r="AR17" s="907">
        <f>AR16</f>
        <v>1.62</v>
      </c>
      <c r="AS17" s="95">
        <f>SUM(AS15:AS16)</f>
        <v>1706400</v>
      </c>
      <c r="AT17" s="907">
        <f>AT16</f>
        <v>1.62</v>
      </c>
    </row>
    <row r="18" spans="1:46">
      <c r="A18" s="447" t="s">
        <v>106</v>
      </c>
      <c r="B18" s="446"/>
      <c r="C18" s="908">
        <v>550495</v>
      </c>
      <c r="D18" s="909">
        <v>0.52</v>
      </c>
      <c r="E18" s="908">
        <v>550495</v>
      </c>
      <c r="F18" s="909">
        <v>0.52</v>
      </c>
      <c r="G18" s="908">
        <v>550495</v>
      </c>
      <c r="H18" s="909">
        <v>0.52</v>
      </c>
      <c r="I18" s="908">
        <v>550495</v>
      </c>
      <c r="J18" s="909">
        <v>0.53</v>
      </c>
      <c r="K18" s="908">
        <v>550495</v>
      </c>
      <c r="L18" s="909">
        <v>0.53</v>
      </c>
      <c r="M18" s="908">
        <v>550495</v>
      </c>
      <c r="N18" s="909">
        <v>0.52</v>
      </c>
      <c r="O18" s="908">
        <v>550495</v>
      </c>
      <c r="P18" s="909">
        <v>0.53</v>
      </c>
      <c r="Q18" s="908">
        <v>550495</v>
      </c>
      <c r="R18" s="909">
        <v>0.53</v>
      </c>
      <c r="S18" s="908">
        <v>550495</v>
      </c>
      <c r="T18" s="909">
        <v>0.52</v>
      </c>
      <c r="U18" s="908">
        <v>550495</v>
      </c>
      <c r="V18" s="909">
        <v>0.52</v>
      </c>
      <c r="W18" s="908">
        <v>550495</v>
      </c>
      <c r="X18" s="909">
        <v>0.53</v>
      </c>
      <c r="Y18" s="908">
        <v>550495</v>
      </c>
      <c r="Z18" s="909">
        <v>0.52</v>
      </c>
      <c r="AA18" s="908">
        <v>550495</v>
      </c>
      <c r="AB18" s="909">
        <v>0.52</v>
      </c>
      <c r="AC18" s="908">
        <v>550495</v>
      </c>
      <c r="AD18" s="909">
        <v>0.52</v>
      </c>
      <c r="AE18" s="908">
        <v>550495</v>
      </c>
      <c r="AF18" s="909">
        <v>0.52</v>
      </c>
      <c r="AG18" s="908">
        <v>550495</v>
      </c>
      <c r="AH18" s="909">
        <v>0.52</v>
      </c>
      <c r="AI18" s="908">
        <v>550495</v>
      </c>
      <c r="AJ18" s="909">
        <v>0.52</v>
      </c>
      <c r="AK18" s="908">
        <v>550495</v>
      </c>
      <c r="AL18" s="909">
        <v>0.52</v>
      </c>
      <c r="AM18" s="908">
        <v>550495</v>
      </c>
      <c r="AN18" s="909">
        <v>0.52</v>
      </c>
      <c r="AO18" s="908">
        <v>550495</v>
      </c>
      <c r="AP18" s="909">
        <v>0.52</v>
      </c>
      <c r="AQ18" s="908">
        <v>550495</v>
      </c>
      <c r="AR18" s="909">
        <v>0.52</v>
      </c>
      <c r="AS18" s="908">
        <v>550495</v>
      </c>
      <c r="AT18" s="909">
        <v>0.52</v>
      </c>
    </row>
    <row r="19" spans="1:46">
      <c r="A19" s="447" t="s">
        <v>107</v>
      </c>
      <c r="B19" s="446"/>
      <c r="C19" s="910">
        <v>1188246.17</v>
      </c>
      <c r="D19" s="911">
        <v>1.1299999999999999</v>
      </c>
      <c r="E19" s="910">
        <v>1188246.17</v>
      </c>
      <c r="F19" s="911">
        <v>1.1299999999999999</v>
      </c>
      <c r="G19" s="910">
        <v>1188246.17</v>
      </c>
      <c r="H19" s="911">
        <v>1.1299999999999999</v>
      </c>
      <c r="I19" s="910">
        <v>1188246.17</v>
      </c>
      <c r="J19" s="911">
        <v>1.1299999999999999</v>
      </c>
      <c r="K19" s="910">
        <v>1188246.17</v>
      </c>
      <c r="L19" s="911">
        <v>1.1299999999999999</v>
      </c>
      <c r="M19" s="910">
        <v>1188246.17</v>
      </c>
      <c r="N19" s="911">
        <v>1.1299999999999999</v>
      </c>
      <c r="O19" s="910">
        <v>1188246.17</v>
      </c>
      <c r="P19" s="911">
        <v>1.1299999999999999</v>
      </c>
      <c r="Q19" s="910">
        <v>1188246.17</v>
      </c>
      <c r="R19" s="911">
        <v>1.1299999999999999</v>
      </c>
      <c r="S19" s="910">
        <v>1188246.17</v>
      </c>
      <c r="T19" s="911">
        <v>1.1299999999999999</v>
      </c>
      <c r="U19" s="910">
        <v>1188246.17</v>
      </c>
      <c r="V19" s="911">
        <v>1.1299999999999999</v>
      </c>
      <c r="W19" s="910">
        <v>1188246.17</v>
      </c>
      <c r="X19" s="911">
        <v>1.1299999999999999</v>
      </c>
      <c r="Y19" s="910">
        <v>1188246.17</v>
      </c>
      <c r="Z19" s="911">
        <v>1.1299999999999999</v>
      </c>
      <c r="AA19" s="910">
        <v>1188246.17</v>
      </c>
      <c r="AB19" s="911">
        <v>1.1299999999999999</v>
      </c>
      <c r="AC19" s="910">
        <v>1188246.17</v>
      </c>
      <c r="AD19" s="911">
        <v>1.1200000000000001</v>
      </c>
      <c r="AE19" s="910">
        <v>1188246.17</v>
      </c>
      <c r="AF19" s="911">
        <v>1.1200000000000001</v>
      </c>
      <c r="AG19" s="910">
        <v>1188246.17</v>
      </c>
      <c r="AH19" s="911">
        <v>1.1200000000000001</v>
      </c>
      <c r="AI19" s="910">
        <v>1188246.17</v>
      </c>
      <c r="AJ19" s="911">
        <v>1.1200000000000001</v>
      </c>
      <c r="AK19" s="910">
        <v>1188246.17</v>
      </c>
      <c r="AL19" s="911">
        <v>1.1299999999999999</v>
      </c>
      <c r="AM19" s="910">
        <v>1188246.17</v>
      </c>
      <c r="AN19" s="911">
        <v>1.1299999999999999</v>
      </c>
      <c r="AO19" s="910">
        <v>1188246.17</v>
      </c>
      <c r="AP19" s="911">
        <v>1.1299999999999999</v>
      </c>
      <c r="AQ19" s="910">
        <v>1188246.17</v>
      </c>
      <c r="AR19" s="911">
        <v>1.1299999999999999</v>
      </c>
      <c r="AS19" s="910">
        <v>1188246.17</v>
      </c>
      <c r="AT19" s="911">
        <v>1.1299999999999999</v>
      </c>
    </row>
    <row r="20" spans="1:46" ht="16.5" thickBot="1">
      <c r="A20" s="447" t="s">
        <v>108</v>
      </c>
      <c r="B20" s="446"/>
      <c r="C20" s="912">
        <v>5267242.53</v>
      </c>
      <c r="D20" s="911">
        <v>4.99</v>
      </c>
      <c r="E20" s="912">
        <v>5267242.53</v>
      </c>
      <c r="F20" s="911">
        <v>5.0199999999999996</v>
      </c>
      <c r="G20" s="912">
        <v>5267242.53</v>
      </c>
      <c r="H20" s="911">
        <v>5.0199999999999996</v>
      </c>
      <c r="I20" s="912">
        <v>5267242.53</v>
      </c>
      <c r="J20" s="911">
        <v>5.0199999999999996</v>
      </c>
      <c r="K20" s="912">
        <v>5267242.53</v>
      </c>
      <c r="L20" s="911">
        <v>5.0199999999999996</v>
      </c>
      <c r="M20" s="912">
        <v>5267242.53</v>
      </c>
      <c r="N20" s="911">
        <v>5.0199999999999996</v>
      </c>
      <c r="O20" s="912">
        <v>5267242.53</v>
      </c>
      <c r="P20" s="911">
        <v>5.01</v>
      </c>
      <c r="Q20" s="912">
        <v>5267242.53</v>
      </c>
      <c r="R20" s="911">
        <v>5.01</v>
      </c>
      <c r="S20" s="912">
        <v>5267242.53</v>
      </c>
      <c r="T20" s="911">
        <v>5.01</v>
      </c>
      <c r="U20" s="912">
        <v>5267242.53</v>
      </c>
      <c r="V20" s="911">
        <v>5.01</v>
      </c>
      <c r="W20" s="912">
        <v>5267242.53</v>
      </c>
      <c r="X20" s="911">
        <v>5.01</v>
      </c>
      <c r="Y20" s="912">
        <v>5267242.53</v>
      </c>
      <c r="Z20" s="911">
        <v>5.01</v>
      </c>
      <c r="AA20" s="912">
        <v>5267242.53</v>
      </c>
      <c r="AB20" s="911">
        <v>5.01</v>
      </c>
      <c r="AC20" s="912">
        <v>5267242.53</v>
      </c>
      <c r="AD20" s="911">
        <v>5.01</v>
      </c>
      <c r="AE20" s="912">
        <v>5267242.53</v>
      </c>
      <c r="AF20" s="911">
        <v>5.01</v>
      </c>
      <c r="AG20" s="912">
        <v>5267242.53</v>
      </c>
      <c r="AH20" s="911">
        <v>5.01</v>
      </c>
      <c r="AI20" s="912">
        <v>5267242.53</v>
      </c>
      <c r="AJ20" s="911">
        <v>5.01</v>
      </c>
      <c r="AK20" s="912">
        <v>5267242.53</v>
      </c>
      <c r="AL20" s="911">
        <v>4.99</v>
      </c>
      <c r="AM20" s="912">
        <v>5267242.53</v>
      </c>
      <c r="AN20" s="911">
        <v>4.99</v>
      </c>
      <c r="AO20" s="912">
        <v>5267242.53</v>
      </c>
      <c r="AP20" s="911">
        <v>5</v>
      </c>
      <c r="AQ20" s="912">
        <v>5267242.53</v>
      </c>
      <c r="AR20" s="911">
        <v>4.99</v>
      </c>
      <c r="AS20" s="912">
        <v>5267242.53</v>
      </c>
      <c r="AT20" s="911">
        <v>4.99</v>
      </c>
    </row>
    <row r="21" spans="1:46" ht="16.5" thickBot="1">
      <c r="A21" s="1026" t="s">
        <v>111</v>
      </c>
      <c r="B21" s="1027"/>
      <c r="C21" s="95">
        <f t="shared" ref="C21:D21" si="41">SUM(C18:C20)</f>
        <v>7005983.7000000002</v>
      </c>
      <c r="D21" s="907">
        <f t="shared" si="41"/>
        <v>6.6400000000000006</v>
      </c>
      <c r="E21" s="95">
        <f t="shared" ref="E21:F21" si="42">SUM(E18:E20)</f>
        <v>7005983.7000000002</v>
      </c>
      <c r="F21" s="907">
        <f t="shared" si="42"/>
        <v>6.67</v>
      </c>
      <c r="G21" s="95">
        <f t="shared" ref="G21:H21" si="43">SUM(G18:G20)</f>
        <v>7005983.7000000002</v>
      </c>
      <c r="H21" s="907">
        <f t="shared" si="43"/>
        <v>6.67</v>
      </c>
      <c r="I21" s="95">
        <f t="shared" ref="I21:J21" si="44">SUM(I18:I20)</f>
        <v>7005983.7000000002</v>
      </c>
      <c r="J21" s="907">
        <f t="shared" si="44"/>
        <v>6.68</v>
      </c>
      <c r="K21" s="95">
        <f t="shared" ref="K21:L21" si="45">SUM(K18:K20)</f>
        <v>7005983.7000000002</v>
      </c>
      <c r="L21" s="907">
        <f t="shared" si="45"/>
        <v>6.68</v>
      </c>
      <c r="M21" s="95">
        <f t="shared" ref="M21:N21" si="46">SUM(M18:M20)</f>
        <v>7005983.7000000002</v>
      </c>
      <c r="N21" s="907">
        <f t="shared" si="46"/>
        <v>6.67</v>
      </c>
      <c r="O21" s="95">
        <f t="shared" ref="O21:P21" si="47">SUM(O18:O20)</f>
        <v>7005983.7000000002</v>
      </c>
      <c r="P21" s="907">
        <f t="shared" si="47"/>
        <v>6.67</v>
      </c>
      <c r="Q21" s="95">
        <f t="shared" ref="Q21:R21" si="48">SUM(Q18:Q20)</f>
        <v>7005983.7000000002</v>
      </c>
      <c r="R21" s="907">
        <f t="shared" si="48"/>
        <v>6.67</v>
      </c>
      <c r="S21" s="95">
        <f t="shared" ref="S21:T21" si="49">SUM(S18:S20)</f>
        <v>7005983.7000000002</v>
      </c>
      <c r="T21" s="907">
        <f t="shared" si="49"/>
        <v>6.66</v>
      </c>
      <c r="U21" s="95">
        <f t="shared" ref="U21:V21" si="50">SUM(U18:U20)</f>
        <v>7005983.7000000002</v>
      </c>
      <c r="V21" s="907">
        <f t="shared" si="50"/>
        <v>6.66</v>
      </c>
      <c r="W21" s="95">
        <f t="shared" ref="W21:X21" si="51">SUM(W18:W20)</f>
        <v>7005983.7000000002</v>
      </c>
      <c r="X21" s="907">
        <f t="shared" si="51"/>
        <v>6.67</v>
      </c>
      <c r="Y21" s="95">
        <f t="shared" ref="Y21:Z21" si="52">SUM(Y18:Y20)</f>
        <v>7005983.7000000002</v>
      </c>
      <c r="Z21" s="907">
        <f t="shared" si="52"/>
        <v>6.66</v>
      </c>
      <c r="AA21" s="95">
        <f t="shared" ref="AA21:AB21" si="53">SUM(AA18:AA20)</f>
        <v>7005983.7000000002</v>
      </c>
      <c r="AB21" s="907">
        <f t="shared" si="53"/>
        <v>6.66</v>
      </c>
      <c r="AC21" s="95">
        <f t="shared" ref="AC21:AD21" si="54">SUM(AC18:AC20)</f>
        <v>7005983.7000000002</v>
      </c>
      <c r="AD21" s="907">
        <f t="shared" si="54"/>
        <v>6.65</v>
      </c>
      <c r="AE21" s="95">
        <f t="shared" ref="AE21:AF21" si="55">SUM(AE18:AE20)</f>
        <v>7005983.7000000002</v>
      </c>
      <c r="AF21" s="907">
        <f t="shared" si="55"/>
        <v>6.65</v>
      </c>
      <c r="AG21" s="95">
        <f t="shared" ref="AG21:AH21" si="56">SUM(AG18:AG20)</f>
        <v>7005983.7000000002</v>
      </c>
      <c r="AH21" s="907">
        <f t="shared" si="56"/>
        <v>6.65</v>
      </c>
      <c r="AI21" s="95">
        <f t="shared" ref="AI21:AJ21" si="57">SUM(AI18:AI20)</f>
        <v>7005983.7000000002</v>
      </c>
      <c r="AJ21" s="907">
        <f t="shared" si="57"/>
        <v>6.65</v>
      </c>
      <c r="AK21" s="95">
        <f t="shared" ref="AK21:AL21" si="58">SUM(AK18:AK20)</f>
        <v>7005983.7000000002</v>
      </c>
      <c r="AL21" s="907">
        <f t="shared" si="58"/>
        <v>6.6400000000000006</v>
      </c>
      <c r="AM21" s="95">
        <f t="shared" ref="AM21:AN21" si="59">SUM(AM18:AM20)</f>
        <v>7005983.7000000002</v>
      </c>
      <c r="AN21" s="907">
        <f t="shared" si="59"/>
        <v>6.6400000000000006</v>
      </c>
      <c r="AO21" s="95">
        <f t="shared" ref="AO21:AP21" si="60">SUM(AO18:AO20)</f>
        <v>7005983.7000000002</v>
      </c>
      <c r="AP21" s="907">
        <f t="shared" si="60"/>
        <v>6.65</v>
      </c>
      <c r="AQ21" s="95">
        <f t="shared" ref="AQ21:AR21" si="61">SUM(AQ18:AQ20)</f>
        <v>7005983.7000000002</v>
      </c>
      <c r="AR21" s="907">
        <f t="shared" si="61"/>
        <v>6.6400000000000006</v>
      </c>
      <c r="AS21" s="95">
        <f t="shared" ref="AS21:AT21" si="62">SUM(AS18:AS20)</f>
        <v>7005983.7000000002</v>
      </c>
      <c r="AT21" s="907">
        <f t="shared" si="62"/>
        <v>6.6400000000000006</v>
      </c>
    </row>
    <row r="22" spans="1:46" ht="15">
      <c r="A22" s="553" t="s">
        <v>45</v>
      </c>
      <c r="B22" s="478" t="s">
        <v>58</v>
      </c>
      <c r="C22" s="765">
        <v>216970.93</v>
      </c>
      <c r="D22" s="868">
        <v>0.21</v>
      </c>
      <c r="E22" s="765">
        <v>1970.93</v>
      </c>
      <c r="F22" s="868">
        <v>0</v>
      </c>
      <c r="G22" s="489">
        <v>1970.93</v>
      </c>
      <c r="H22" s="868">
        <v>0</v>
      </c>
      <c r="I22" s="489">
        <v>1970.93</v>
      </c>
      <c r="J22" s="868">
        <v>0</v>
      </c>
      <c r="K22" s="489">
        <v>28496.26</v>
      </c>
      <c r="L22" s="868">
        <v>0.03</v>
      </c>
      <c r="M22" s="765">
        <v>188056.26</v>
      </c>
      <c r="N22" s="868">
        <v>0.18</v>
      </c>
      <c r="O22" s="489">
        <v>188056.26</v>
      </c>
      <c r="P22" s="868">
        <v>0.18</v>
      </c>
      <c r="Q22" s="765">
        <v>246198.73</v>
      </c>
      <c r="R22" s="868">
        <v>0.23</v>
      </c>
      <c r="S22" s="489">
        <v>246198.73</v>
      </c>
      <c r="T22" s="868">
        <v>0.23</v>
      </c>
      <c r="U22" s="489">
        <v>246198.73</v>
      </c>
      <c r="V22" s="868">
        <v>0.23</v>
      </c>
      <c r="W22" s="765">
        <v>10154589.73</v>
      </c>
      <c r="X22" s="868">
        <v>9.66</v>
      </c>
      <c r="Y22" s="765">
        <v>50451.73</v>
      </c>
      <c r="Z22" s="868">
        <v>0.05</v>
      </c>
      <c r="AA22" s="489">
        <v>50451.73</v>
      </c>
      <c r="AB22" s="868">
        <v>0.05</v>
      </c>
      <c r="AC22" s="489">
        <v>50451.73</v>
      </c>
      <c r="AD22" s="868">
        <v>0.05</v>
      </c>
      <c r="AE22" s="489">
        <v>50451.73</v>
      </c>
      <c r="AF22" s="868">
        <v>0.05</v>
      </c>
      <c r="AG22" s="765">
        <v>451.73</v>
      </c>
      <c r="AH22" s="868">
        <v>0</v>
      </c>
      <c r="AI22" s="765">
        <v>77252.63</v>
      </c>
      <c r="AJ22" s="868">
        <v>0.03</v>
      </c>
      <c r="AK22" s="765">
        <v>85124.11</v>
      </c>
      <c r="AL22" s="868">
        <v>0.08</v>
      </c>
      <c r="AM22" s="765">
        <v>95398.080000000002</v>
      </c>
      <c r="AN22" s="868">
        <v>0.09</v>
      </c>
      <c r="AO22" s="489">
        <v>95398.080000000002</v>
      </c>
      <c r="AP22" s="868">
        <v>0.09</v>
      </c>
      <c r="AQ22" s="489">
        <v>95398.080000000002</v>
      </c>
      <c r="AR22" s="868">
        <v>0.09</v>
      </c>
      <c r="AS22" s="489">
        <v>95398.080000000002</v>
      </c>
      <c r="AT22" s="868">
        <v>0.09</v>
      </c>
    </row>
    <row r="23" spans="1:46" ht="15">
      <c r="A23" s="553" t="s">
        <v>45</v>
      </c>
      <c r="B23" s="478" t="s">
        <v>58</v>
      </c>
      <c r="C23" s="489">
        <v>0</v>
      </c>
      <c r="D23" s="868">
        <v>0</v>
      </c>
      <c r="E23" s="489">
        <v>0</v>
      </c>
      <c r="F23" s="868">
        <v>0</v>
      </c>
      <c r="G23" s="489">
        <v>0</v>
      </c>
      <c r="H23" s="868">
        <v>0</v>
      </c>
      <c r="I23" s="489">
        <v>0</v>
      </c>
      <c r="J23" s="868">
        <v>0</v>
      </c>
      <c r="K23" s="489">
        <v>0</v>
      </c>
      <c r="L23" s="868">
        <v>0</v>
      </c>
      <c r="M23" s="489">
        <v>0</v>
      </c>
      <c r="N23" s="868">
        <v>0</v>
      </c>
      <c r="O23" s="489">
        <v>0</v>
      </c>
      <c r="P23" s="868">
        <v>0</v>
      </c>
      <c r="Q23" s="489">
        <v>0</v>
      </c>
      <c r="R23" s="868">
        <v>0</v>
      </c>
      <c r="S23" s="489">
        <v>0</v>
      </c>
      <c r="T23" s="868">
        <v>0</v>
      </c>
      <c r="U23" s="489">
        <v>0</v>
      </c>
      <c r="V23" s="868">
        <v>0</v>
      </c>
      <c r="W23" s="489">
        <v>0</v>
      </c>
      <c r="X23" s="868">
        <v>0</v>
      </c>
      <c r="Y23" s="489">
        <v>0</v>
      </c>
      <c r="Z23" s="868">
        <v>0</v>
      </c>
      <c r="AA23" s="489">
        <v>0</v>
      </c>
      <c r="AB23" s="868">
        <v>0</v>
      </c>
      <c r="AC23" s="489">
        <v>0</v>
      </c>
      <c r="AD23" s="868">
        <v>0</v>
      </c>
      <c r="AE23" s="489">
        <v>0</v>
      </c>
      <c r="AF23" s="868">
        <v>0</v>
      </c>
      <c r="AG23" s="489">
        <v>0</v>
      </c>
      <c r="AH23" s="868">
        <v>0</v>
      </c>
      <c r="AI23" s="489">
        <v>0</v>
      </c>
      <c r="AJ23" s="868">
        <v>0</v>
      </c>
      <c r="AK23" s="489">
        <v>0</v>
      </c>
      <c r="AL23" s="868">
        <v>0</v>
      </c>
      <c r="AM23" s="489">
        <v>0</v>
      </c>
      <c r="AN23" s="868">
        <v>0</v>
      </c>
      <c r="AO23" s="489">
        <v>0</v>
      </c>
      <c r="AP23" s="868">
        <v>0</v>
      </c>
      <c r="AQ23" s="489">
        <v>0</v>
      </c>
      <c r="AR23" s="868">
        <v>0</v>
      </c>
      <c r="AS23" s="489">
        <v>0</v>
      </c>
      <c r="AT23" s="868">
        <v>0</v>
      </c>
    </row>
    <row r="24" spans="1:46" ht="15">
      <c r="A24" s="554"/>
      <c r="B24" s="478"/>
      <c r="C24" s="765">
        <v>5037.99</v>
      </c>
      <c r="D24" s="868">
        <v>0</v>
      </c>
      <c r="E24" s="765">
        <v>12122.84</v>
      </c>
      <c r="F24" s="868">
        <v>0.01</v>
      </c>
      <c r="G24" s="489">
        <v>12122.84</v>
      </c>
      <c r="H24" s="868">
        <v>0.01</v>
      </c>
      <c r="I24" s="765">
        <v>14701.84</v>
      </c>
      <c r="J24" s="868">
        <v>0.01</v>
      </c>
      <c r="K24" s="765">
        <v>7920.61</v>
      </c>
      <c r="L24" s="868">
        <v>0.01</v>
      </c>
      <c r="M24" s="765">
        <v>10585.61</v>
      </c>
      <c r="N24" s="868">
        <v>0.01</v>
      </c>
      <c r="O24" s="765">
        <v>16898.61</v>
      </c>
      <c r="P24" s="868">
        <v>0.01</v>
      </c>
      <c r="Q24" s="765">
        <v>17995.61</v>
      </c>
      <c r="R24" s="868">
        <v>0.02</v>
      </c>
      <c r="S24" s="489">
        <v>17995.61</v>
      </c>
      <c r="T24" s="868">
        <v>0.02</v>
      </c>
      <c r="U24" s="585">
        <v>9863.2099999999991</v>
      </c>
      <c r="V24" s="868">
        <v>0.01</v>
      </c>
      <c r="W24" s="765">
        <v>715.14</v>
      </c>
      <c r="X24" s="868">
        <v>0</v>
      </c>
      <c r="Y24" s="765">
        <v>7995.14</v>
      </c>
      <c r="Z24" s="868">
        <v>0.01</v>
      </c>
      <c r="AA24" s="489">
        <v>7995.14</v>
      </c>
      <c r="AB24" s="868">
        <v>0.01</v>
      </c>
      <c r="AC24" s="489">
        <v>7995.14</v>
      </c>
      <c r="AD24" s="868">
        <v>0.01</v>
      </c>
      <c r="AE24" s="765">
        <v>7495.14</v>
      </c>
      <c r="AF24" s="868">
        <v>0.01</v>
      </c>
      <c r="AG24" s="765">
        <v>14992.05</v>
      </c>
      <c r="AH24" s="868">
        <v>0.01</v>
      </c>
      <c r="AI24" s="489">
        <v>14992.05</v>
      </c>
      <c r="AJ24" s="868">
        <v>0.01</v>
      </c>
      <c r="AK24" s="765">
        <v>5251.05</v>
      </c>
      <c r="AL24" s="868">
        <v>0</v>
      </c>
      <c r="AM24" s="489">
        <v>5251.05</v>
      </c>
      <c r="AN24" s="868">
        <v>0</v>
      </c>
      <c r="AO24" s="489">
        <v>5251.05</v>
      </c>
      <c r="AP24" s="868">
        <v>0</v>
      </c>
      <c r="AQ24" s="489">
        <v>5251.05</v>
      </c>
      <c r="AR24" s="868">
        <v>0</v>
      </c>
      <c r="AS24" s="1001">
        <v>23251.05</v>
      </c>
      <c r="AT24" s="868">
        <v>0.02</v>
      </c>
    </row>
    <row r="25" spans="1:46" ht="15" customHeight="1">
      <c r="A25" s="554" t="s">
        <v>47</v>
      </c>
      <c r="B25" s="478" t="s">
        <v>58</v>
      </c>
      <c r="C25" s="809">
        <v>1000100</v>
      </c>
      <c r="D25" s="970">
        <v>0.95</v>
      </c>
      <c r="E25" s="809">
        <v>1000100</v>
      </c>
      <c r="F25" s="970">
        <v>0.95</v>
      </c>
      <c r="G25" s="809">
        <v>1000100</v>
      </c>
      <c r="H25" s="970">
        <v>0.95</v>
      </c>
      <c r="I25" s="809">
        <v>1000100</v>
      </c>
      <c r="J25" s="970">
        <v>0.95</v>
      </c>
      <c r="K25" s="809">
        <v>1000100</v>
      </c>
      <c r="L25" s="970">
        <v>0.95</v>
      </c>
      <c r="M25" s="809">
        <v>1000100</v>
      </c>
      <c r="N25" s="970">
        <v>0.95</v>
      </c>
      <c r="O25" s="809">
        <v>1000100</v>
      </c>
      <c r="P25" s="970">
        <v>0.95</v>
      </c>
      <c r="Q25" s="809">
        <v>1000100</v>
      </c>
      <c r="R25" s="970">
        <v>0.95</v>
      </c>
      <c r="S25" s="809">
        <v>1000100</v>
      </c>
      <c r="T25" s="970">
        <v>0.95</v>
      </c>
      <c r="U25" s="809">
        <v>1000100</v>
      </c>
      <c r="V25" s="970">
        <v>0.95</v>
      </c>
      <c r="W25" s="809">
        <v>1000100</v>
      </c>
      <c r="X25" s="970">
        <v>0.95</v>
      </c>
      <c r="Y25" s="809">
        <v>1000100</v>
      </c>
      <c r="Z25" s="970">
        <v>0.95</v>
      </c>
      <c r="AA25" s="809">
        <v>1000100</v>
      </c>
      <c r="AB25" s="970">
        <v>0.95</v>
      </c>
      <c r="AC25" s="809">
        <v>1000100</v>
      </c>
      <c r="AD25" s="970">
        <v>0.95</v>
      </c>
      <c r="AE25" s="809">
        <v>1000100</v>
      </c>
      <c r="AF25" s="970">
        <v>0.95</v>
      </c>
      <c r="AG25" s="809">
        <v>1000100</v>
      </c>
      <c r="AH25" s="970">
        <v>0.95</v>
      </c>
      <c r="AI25" s="809">
        <v>1000100</v>
      </c>
      <c r="AJ25" s="970">
        <v>0.95</v>
      </c>
      <c r="AK25" s="809">
        <v>1000100</v>
      </c>
      <c r="AL25" s="970">
        <v>0.95</v>
      </c>
      <c r="AM25" s="809">
        <v>1000100</v>
      </c>
      <c r="AN25" s="970">
        <v>0.95</v>
      </c>
      <c r="AO25" s="809">
        <v>1000100</v>
      </c>
      <c r="AP25" s="970">
        <v>0.95</v>
      </c>
      <c r="AQ25" s="809">
        <v>1000100</v>
      </c>
      <c r="AR25" s="970">
        <v>0.95</v>
      </c>
      <c r="AS25" s="809">
        <v>1000100</v>
      </c>
      <c r="AT25" s="970">
        <v>0.95</v>
      </c>
    </row>
    <row r="26" spans="1:46" ht="15" customHeight="1">
      <c r="A26" s="553" t="s">
        <v>47</v>
      </c>
      <c r="B26" s="478" t="s">
        <v>58</v>
      </c>
      <c r="C26" s="585">
        <v>995000</v>
      </c>
      <c r="D26" s="970">
        <v>0.94</v>
      </c>
      <c r="E26" s="765">
        <v>660000</v>
      </c>
      <c r="F26" s="970">
        <v>0.63</v>
      </c>
      <c r="G26" s="765">
        <v>660000</v>
      </c>
      <c r="H26" s="970">
        <v>0.63</v>
      </c>
      <c r="I26" s="765">
        <v>660000</v>
      </c>
      <c r="J26" s="970">
        <v>0.63</v>
      </c>
      <c r="K26" s="765">
        <v>660000</v>
      </c>
      <c r="L26" s="970">
        <v>0.63</v>
      </c>
      <c r="M26" s="765">
        <v>660000</v>
      </c>
      <c r="N26" s="970">
        <v>0.63</v>
      </c>
      <c r="O26" s="765">
        <v>660000</v>
      </c>
      <c r="P26" s="970">
        <v>0.63</v>
      </c>
      <c r="Q26" s="765">
        <v>660000</v>
      </c>
      <c r="R26" s="970">
        <v>0.63</v>
      </c>
      <c r="S26" s="765">
        <v>660000</v>
      </c>
      <c r="T26" s="970">
        <v>0.63</v>
      </c>
      <c r="U26" s="765">
        <v>660000</v>
      </c>
      <c r="V26" s="970">
        <v>0.63</v>
      </c>
      <c r="W26" s="585">
        <v>900000</v>
      </c>
      <c r="X26" s="970">
        <v>0.86</v>
      </c>
      <c r="Y26" s="585">
        <v>900000</v>
      </c>
      <c r="Z26" s="970">
        <v>0.86</v>
      </c>
      <c r="AA26" s="585">
        <v>900000</v>
      </c>
      <c r="AB26" s="970">
        <v>0.86</v>
      </c>
      <c r="AC26" s="585">
        <v>900000</v>
      </c>
      <c r="AD26" s="970">
        <v>0.85</v>
      </c>
      <c r="AE26" s="585">
        <v>900000</v>
      </c>
      <c r="AF26" s="970">
        <v>0.85</v>
      </c>
      <c r="AG26" s="765">
        <v>870000</v>
      </c>
      <c r="AH26" s="970">
        <v>0.83</v>
      </c>
      <c r="AI26" s="765">
        <v>870000</v>
      </c>
      <c r="AJ26" s="970">
        <v>0.83</v>
      </c>
      <c r="AK26" s="765">
        <v>870000</v>
      </c>
      <c r="AL26" s="970">
        <v>0.82</v>
      </c>
      <c r="AM26" s="765">
        <v>870000</v>
      </c>
      <c r="AN26" s="970">
        <v>0.82</v>
      </c>
      <c r="AO26" s="765">
        <v>870000</v>
      </c>
      <c r="AP26" s="970">
        <v>0.82</v>
      </c>
      <c r="AQ26" s="765">
        <v>870000</v>
      </c>
      <c r="AR26" s="970">
        <v>0.82</v>
      </c>
      <c r="AS26" s="765">
        <v>870000</v>
      </c>
      <c r="AT26" s="970">
        <v>0.83</v>
      </c>
    </row>
    <row r="27" spans="1:46" ht="15" customHeight="1">
      <c r="A27" s="553" t="s">
        <v>47</v>
      </c>
      <c r="B27" s="478" t="s">
        <v>103</v>
      </c>
      <c r="C27" s="971">
        <v>2000000</v>
      </c>
      <c r="D27" s="970">
        <v>1.9</v>
      </c>
      <c r="E27" s="479">
        <v>5000000</v>
      </c>
      <c r="F27" s="970">
        <v>4.76</v>
      </c>
      <c r="G27" s="479">
        <v>5000000</v>
      </c>
      <c r="H27" s="970">
        <v>4.76</v>
      </c>
      <c r="I27" s="479">
        <v>5000000</v>
      </c>
      <c r="J27" s="970">
        <v>4.76</v>
      </c>
      <c r="K27" s="479">
        <v>5000000</v>
      </c>
      <c r="L27" s="970">
        <v>4.76</v>
      </c>
      <c r="M27" s="479">
        <v>5000000</v>
      </c>
      <c r="N27" s="970">
        <v>4.76</v>
      </c>
      <c r="O27" s="479">
        <v>5000000</v>
      </c>
      <c r="P27" s="970">
        <v>4.76</v>
      </c>
      <c r="Q27" s="479">
        <v>5000000</v>
      </c>
      <c r="R27" s="970">
        <v>4.76</v>
      </c>
      <c r="S27" s="479">
        <v>5000000</v>
      </c>
      <c r="T27" s="970">
        <v>4.75</v>
      </c>
      <c r="U27" s="479">
        <v>5000000</v>
      </c>
      <c r="V27" s="970">
        <v>4.76</v>
      </c>
      <c r="W27" s="479">
        <v>5000000</v>
      </c>
      <c r="X27" s="970">
        <v>4.75</v>
      </c>
      <c r="Y27" s="479">
        <v>5000000</v>
      </c>
      <c r="Z27" s="970">
        <v>4.75</v>
      </c>
      <c r="AA27" s="479">
        <v>5000000</v>
      </c>
      <c r="AB27" s="970">
        <v>4.75</v>
      </c>
      <c r="AC27" s="479">
        <v>5000000</v>
      </c>
      <c r="AD27">
        <v>4.74</v>
      </c>
      <c r="AE27" s="479">
        <v>5000000</v>
      </c>
      <c r="AF27">
        <v>4.74</v>
      </c>
      <c r="AG27" s="479">
        <v>5000000</v>
      </c>
      <c r="AH27">
        <v>4.74</v>
      </c>
      <c r="AI27" s="479">
        <v>5000000</v>
      </c>
      <c r="AJ27">
        <v>4.74</v>
      </c>
      <c r="AK27" s="479">
        <v>5000000</v>
      </c>
      <c r="AL27">
        <v>4.7300000000000004</v>
      </c>
      <c r="AM27" s="479">
        <v>5000000</v>
      </c>
      <c r="AN27">
        <v>4.7300000000000004</v>
      </c>
      <c r="AO27" s="479">
        <v>5000000</v>
      </c>
      <c r="AP27">
        <v>4.75</v>
      </c>
      <c r="AQ27" s="479">
        <v>5000000</v>
      </c>
      <c r="AR27">
        <v>4.74</v>
      </c>
      <c r="AS27" s="479">
        <v>5000000</v>
      </c>
      <c r="AT27">
        <v>4.74</v>
      </c>
    </row>
    <row r="28" spans="1:46" ht="15" customHeight="1">
      <c r="A28" s="554" t="s">
        <v>47</v>
      </c>
      <c r="B28" s="478" t="s">
        <v>103</v>
      </c>
      <c r="C28" s="809">
        <v>5000000</v>
      </c>
      <c r="D28" s="970">
        <v>4.74</v>
      </c>
      <c r="E28" s="479">
        <v>3000000</v>
      </c>
      <c r="F28" s="970">
        <v>2.86</v>
      </c>
      <c r="G28" s="479">
        <v>3000000</v>
      </c>
      <c r="H28" s="970">
        <v>2.86</v>
      </c>
      <c r="I28" s="479">
        <v>3000000</v>
      </c>
      <c r="J28" s="970">
        <v>2.86</v>
      </c>
      <c r="K28" s="479">
        <v>3000000</v>
      </c>
      <c r="L28" s="970">
        <v>2.86</v>
      </c>
      <c r="M28" s="479">
        <v>3000000</v>
      </c>
      <c r="N28" s="970">
        <v>2.86</v>
      </c>
      <c r="O28" s="479">
        <v>3000000</v>
      </c>
      <c r="P28" s="970">
        <v>2.86</v>
      </c>
      <c r="Q28" s="479">
        <v>3000000</v>
      </c>
      <c r="R28" s="970">
        <v>2.85</v>
      </c>
      <c r="S28" s="479">
        <v>3000000</v>
      </c>
      <c r="T28" s="970">
        <v>2.85</v>
      </c>
      <c r="U28" s="479">
        <v>3000000</v>
      </c>
      <c r="V28" s="970">
        <v>2.85</v>
      </c>
      <c r="W28" s="479">
        <v>3000000</v>
      </c>
      <c r="X28" s="970">
        <v>2.85</v>
      </c>
      <c r="Y28" s="479">
        <v>3000000</v>
      </c>
      <c r="Z28" s="970">
        <v>2.85</v>
      </c>
      <c r="AA28" s="479">
        <v>3000000</v>
      </c>
      <c r="AB28" s="970">
        <v>2.85</v>
      </c>
      <c r="AC28" s="479">
        <v>3000000</v>
      </c>
      <c r="AD28">
        <v>2.85</v>
      </c>
      <c r="AE28" s="479">
        <v>3000000</v>
      </c>
      <c r="AF28">
        <v>2.85</v>
      </c>
      <c r="AG28" s="479">
        <v>3000000</v>
      </c>
      <c r="AH28">
        <v>2.85</v>
      </c>
      <c r="AI28" s="479">
        <v>3000000</v>
      </c>
      <c r="AJ28">
        <v>2.85</v>
      </c>
      <c r="AK28" s="479">
        <v>3000000</v>
      </c>
      <c r="AL28">
        <v>2.85</v>
      </c>
      <c r="AM28" s="479">
        <v>3000000</v>
      </c>
      <c r="AN28">
        <v>2.85</v>
      </c>
      <c r="AO28" s="479">
        <v>3000000</v>
      </c>
      <c r="AP28">
        <v>2.85</v>
      </c>
      <c r="AQ28" s="479">
        <v>3000000</v>
      </c>
      <c r="AR28">
        <v>2.84</v>
      </c>
      <c r="AS28" s="479">
        <v>3000000</v>
      </c>
      <c r="AT28">
        <v>2.84</v>
      </c>
    </row>
    <row r="29" spans="1:46" ht="15" customHeight="1">
      <c r="A29" s="554" t="s">
        <v>47</v>
      </c>
      <c r="B29" s="478" t="s">
        <v>95</v>
      </c>
      <c r="C29" s="809">
        <v>3000000</v>
      </c>
      <c r="D29" s="970">
        <v>2.85</v>
      </c>
      <c r="E29" s="781">
        <v>5000000</v>
      </c>
      <c r="F29" s="970">
        <v>4.7699999999999996</v>
      </c>
      <c r="G29" s="781">
        <v>5000000</v>
      </c>
      <c r="H29" s="970">
        <v>4.76</v>
      </c>
      <c r="I29" s="781">
        <v>5000000</v>
      </c>
      <c r="J29" s="970">
        <v>4.76</v>
      </c>
      <c r="K29" s="781">
        <v>5000000</v>
      </c>
      <c r="L29" s="970">
        <v>4.76</v>
      </c>
      <c r="M29" s="781">
        <v>5000000</v>
      </c>
      <c r="N29" s="970">
        <v>4.76</v>
      </c>
      <c r="O29" s="781">
        <v>5000000</v>
      </c>
      <c r="P29" s="970">
        <v>4.76</v>
      </c>
      <c r="Q29" s="781">
        <v>5000000</v>
      </c>
      <c r="R29" s="970">
        <v>4.76</v>
      </c>
      <c r="S29" s="781">
        <v>5000000</v>
      </c>
      <c r="T29" s="970">
        <v>4.75</v>
      </c>
      <c r="U29" s="781">
        <v>5000000</v>
      </c>
      <c r="V29" s="970">
        <v>4.76</v>
      </c>
      <c r="W29" s="781">
        <v>5000000</v>
      </c>
      <c r="X29" s="970">
        <v>4.75</v>
      </c>
      <c r="Y29" s="781">
        <v>5000000</v>
      </c>
      <c r="Z29" s="970">
        <v>4.75</v>
      </c>
      <c r="AA29" s="781">
        <v>5000000</v>
      </c>
      <c r="AB29" s="970">
        <v>4.75</v>
      </c>
      <c r="AC29" s="781">
        <v>5000000</v>
      </c>
      <c r="AD29">
        <v>4.74</v>
      </c>
      <c r="AE29" s="781">
        <v>5000000</v>
      </c>
      <c r="AF29">
        <v>4.74</v>
      </c>
      <c r="AG29" s="781">
        <v>5000000</v>
      </c>
      <c r="AH29">
        <v>4.74</v>
      </c>
      <c r="AI29" s="781">
        <v>5000000</v>
      </c>
      <c r="AJ29">
        <v>4.74</v>
      </c>
      <c r="AK29" s="781">
        <v>5000000</v>
      </c>
      <c r="AL29">
        <v>4.74</v>
      </c>
      <c r="AM29" s="781">
        <v>5000000</v>
      </c>
      <c r="AN29">
        <v>4.74</v>
      </c>
      <c r="AO29" s="781">
        <v>5000000</v>
      </c>
      <c r="AP29">
        <v>4.75</v>
      </c>
      <c r="AQ29" s="781">
        <v>5000000</v>
      </c>
      <c r="AR29">
        <v>4.74</v>
      </c>
      <c r="AS29" s="781">
        <v>5000000</v>
      </c>
      <c r="AT29">
        <v>4.74</v>
      </c>
    </row>
    <row r="30" spans="1:46" ht="15" customHeight="1">
      <c r="A30" s="554" t="s">
        <v>47</v>
      </c>
      <c r="B30" s="478" t="s">
        <v>95</v>
      </c>
      <c r="C30" s="810">
        <v>5000000</v>
      </c>
      <c r="D30" s="970">
        <v>4.74</v>
      </c>
      <c r="E30" s="781">
        <v>1500000</v>
      </c>
      <c r="F30" s="970">
        <v>1.43</v>
      </c>
      <c r="G30" s="781">
        <v>1500000</v>
      </c>
      <c r="H30" s="970">
        <v>1.43</v>
      </c>
      <c r="I30" s="781">
        <v>1500000</v>
      </c>
      <c r="J30" s="970">
        <v>1.43</v>
      </c>
      <c r="K30" s="781">
        <v>1500000</v>
      </c>
      <c r="L30" s="970">
        <v>1.43</v>
      </c>
      <c r="M30" s="781">
        <v>1500000</v>
      </c>
      <c r="N30" s="970">
        <v>1.43</v>
      </c>
      <c r="O30" s="781">
        <v>1500000</v>
      </c>
      <c r="P30" s="970">
        <v>1.43</v>
      </c>
      <c r="Q30" s="781">
        <v>1500000</v>
      </c>
      <c r="R30" s="970">
        <v>1.43</v>
      </c>
      <c r="S30" s="781">
        <v>1500000</v>
      </c>
      <c r="T30" s="970">
        <v>1.43</v>
      </c>
      <c r="U30" s="781">
        <v>1500000</v>
      </c>
      <c r="V30" s="970">
        <v>1.43</v>
      </c>
      <c r="W30" s="781">
        <v>1500000</v>
      </c>
      <c r="X30" s="970">
        <v>1.43</v>
      </c>
      <c r="Y30" s="781">
        <v>1500000</v>
      </c>
      <c r="Z30" s="970">
        <v>1.43</v>
      </c>
      <c r="AA30" s="781">
        <v>1500000</v>
      </c>
      <c r="AB30" s="970">
        <v>1.43</v>
      </c>
      <c r="AC30" s="781">
        <v>1500000</v>
      </c>
      <c r="AD30">
        <v>1.42</v>
      </c>
      <c r="AE30" s="781">
        <v>1500000</v>
      </c>
      <c r="AF30">
        <v>1.42</v>
      </c>
      <c r="AG30" s="781">
        <v>1500000</v>
      </c>
      <c r="AH30">
        <v>1.42</v>
      </c>
      <c r="AI30" s="781">
        <v>1500000</v>
      </c>
      <c r="AJ30">
        <v>1.42</v>
      </c>
      <c r="AK30" s="781">
        <v>1500000</v>
      </c>
      <c r="AL30">
        <v>1.42</v>
      </c>
      <c r="AM30" s="781">
        <v>1500000</v>
      </c>
      <c r="AN30">
        <v>1.42</v>
      </c>
      <c r="AO30" s="781">
        <v>1500000</v>
      </c>
      <c r="AP30">
        <v>1.42</v>
      </c>
      <c r="AQ30" s="781">
        <v>1500000</v>
      </c>
      <c r="AR30">
        <v>1.42</v>
      </c>
      <c r="AS30" s="781">
        <v>1500000</v>
      </c>
      <c r="AT30">
        <v>1.42</v>
      </c>
    </row>
    <row r="31" spans="1:46" ht="15" customHeight="1">
      <c r="A31" s="554" t="s">
        <v>47</v>
      </c>
      <c r="B31" s="478" t="s">
        <v>95</v>
      </c>
      <c r="C31" s="810">
        <v>1500000</v>
      </c>
      <c r="D31" s="970">
        <v>1.42</v>
      </c>
      <c r="E31" s="781">
        <v>2000000</v>
      </c>
      <c r="F31" s="970">
        <v>1.91</v>
      </c>
      <c r="G31" s="781">
        <v>2000000</v>
      </c>
      <c r="H31" s="970">
        <v>1.91</v>
      </c>
      <c r="I31" s="781">
        <v>2000000</v>
      </c>
      <c r="J31" s="970">
        <v>1.91</v>
      </c>
      <c r="K31" s="781">
        <v>2000000</v>
      </c>
      <c r="L31" s="970">
        <v>1.91</v>
      </c>
      <c r="M31" s="781">
        <v>2000000</v>
      </c>
      <c r="N31" s="970">
        <v>1.91</v>
      </c>
      <c r="O31" s="781">
        <v>2000000</v>
      </c>
      <c r="P31" s="970">
        <v>1.91</v>
      </c>
      <c r="Q31" s="781">
        <v>2000000</v>
      </c>
      <c r="R31" s="970">
        <v>1.91</v>
      </c>
      <c r="S31" s="781">
        <v>2000000</v>
      </c>
      <c r="T31" s="970">
        <v>1.9</v>
      </c>
      <c r="U31" s="781">
        <v>2000000</v>
      </c>
      <c r="V31" s="970">
        <v>1.91</v>
      </c>
      <c r="W31" s="781">
        <v>2000000</v>
      </c>
      <c r="X31" s="970">
        <v>1.9</v>
      </c>
      <c r="Y31" s="781">
        <v>2000000</v>
      </c>
      <c r="Z31" s="970">
        <v>1.9</v>
      </c>
      <c r="AA31" s="781">
        <v>2000000</v>
      </c>
      <c r="AB31" s="970">
        <v>1.9</v>
      </c>
      <c r="AC31" s="781">
        <v>2000000</v>
      </c>
      <c r="AD31">
        <v>1.9</v>
      </c>
      <c r="AE31" s="781">
        <v>2000000</v>
      </c>
      <c r="AF31">
        <v>1.9</v>
      </c>
      <c r="AG31" s="781">
        <v>2000000</v>
      </c>
      <c r="AH31">
        <v>1.9</v>
      </c>
      <c r="AI31" s="781">
        <v>2000000</v>
      </c>
      <c r="AJ31">
        <v>1.9</v>
      </c>
      <c r="AK31" s="781">
        <v>2000000</v>
      </c>
      <c r="AL31">
        <v>1.9</v>
      </c>
      <c r="AM31" s="781">
        <v>2000000</v>
      </c>
      <c r="AN31">
        <v>1.9</v>
      </c>
      <c r="AO31" s="781">
        <v>2000000</v>
      </c>
      <c r="AP31">
        <v>1.9</v>
      </c>
      <c r="AQ31" s="781">
        <v>2000000</v>
      </c>
      <c r="AR31">
        <v>1.9</v>
      </c>
      <c r="AS31" s="781">
        <v>2000000</v>
      </c>
      <c r="AT31">
        <v>1.89</v>
      </c>
    </row>
    <row r="32" spans="1:46" ht="15">
      <c r="A32" s="554" t="s">
        <v>47</v>
      </c>
      <c r="B32" s="478" t="s">
        <v>125</v>
      </c>
      <c r="C32" s="969">
        <v>6000000</v>
      </c>
      <c r="D32" s="970">
        <v>5.69</v>
      </c>
      <c r="E32" s="781">
        <v>6000000</v>
      </c>
      <c r="F32" s="970">
        <v>5.72</v>
      </c>
      <c r="G32" s="781">
        <v>6000000</v>
      </c>
      <c r="H32" s="970">
        <v>5.72</v>
      </c>
      <c r="I32" s="781">
        <v>6000000</v>
      </c>
      <c r="J32" s="970">
        <v>5.72</v>
      </c>
      <c r="K32" s="781">
        <v>6000000</v>
      </c>
      <c r="L32" s="970">
        <v>5.71</v>
      </c>
      <c r="M32" s="781">
        <v>6000000</v>
      </c>
      <c r="N32" s="970">
        <v>5.71</v>
      </c>
      <c r="O32" s="781">
        <v>6000000</v>
      </c>
      <c r="P32" s="970">
        <v>5.71</v>
      </c>
      <c r="Q32" s="781">
        <v>6000000</v>
      </c>
      <c r="R32" s="970">
        <v>5.71</v>
      </c>
      <c r="S32" s="781">
        <v>6000000</v>
      </c>
      <c r="T32" s="970">
        <v>5.7</v>
      </c>
      <c r="U32" s="781">
        <v>6000000</v>
      </c>
      <c r="V32" s="970">
        <v>5.71</v>
      </c>
      <c r="W32" s="781">
        <v>6000000</v>
      </c>
      <c r="X32" s="970">
        <v>5.71</v>
      </c>
      <c r="Y32" s="781">
        <v>6000000</v>
      </c>
      <c r="Z32" s="970">
        <v>5.71</v>
      </c>
      <c r="AA32" s="781">
        <v>6000000</v>
      </c>
      <c r="AB32" s="970">
        <v>5.71</v>
      </c>
      <c r="AC32" s="781">
        <v>6000000</v>
      </c>
      <c r="AD32">
        <v>5.69</v>
      </c>
      <c r="AE32" s="781">
        <v>6000000</v>
      </c>
      <c r="AF32">
        <v>5.69</v>
      </c>
      <c r="AG32" s="781">
        <v>6000000</v>
      </c>
      <c r="AH32">
        <v>5.69</v>
      </c>
      <c r="AI32" s="781">
        <v>6000000</v>
      </c>
      <c r="AJ32">
        <v>5.69</v>
      </c>
      <c r="AK32" s="781">
        <v>6000000</v>
      </c>
      <c r="AL32">
        <v>5.69</v>
      </c>
      <c r="AM32" s="781">
        <v>6000000</v>
      </c>
      <c r="AN32">
        <v>5.69</v>
      </c>
      <c r="AO32" s="781">
        <v>6000000</v>
      </c>
      <c r="AP32">
        <v>5.7</v>
      </c>
      <c r="AQ32" s="781">
        <v>6000000</v>
      </c>
      <c r="AR32">
        <v>5.69</v>
      </c>
      <c r="AS32" s="781">
        <v>6000000</v>
      </c>
      <c r="AT32">
        <v>5.68</v>
      </c>
    </row>
    <row r="33" spans="1:46" ht="15">
      <c r="A33" s="554" t="s">
        <v>47</v>
      </c>
      <c r="B33" s="478" t="s">
        <v>125</v>
      </c>
      <c r="C33" s="807">
        <v>1000000</v>
      </c>
      <c r="D33" s="970">
        <v>0.95</v>
      </c>
      <c r="E33" s="48">
        <v>1000000</v>
      </c>
      <c r="F33" s="970">
        <v>0.95</v>
      </c>
      <c r="G33" s="48">
        <v>1000000</v>
      </c>
      <c r="H33" s="970">
        <v>0.95</v>
      </c>
      <c r="I33" s="48">
        <v>1000000</v>
      </c>
      <c r="J33" s="970">
        <v>0.95</v>
      </c>
      <c r="K33" s="48">
        <v>1000000</v>
      </c>
      <c r="L33" s="970">
        <v>0.95</v>
      </c>
      <c r="M33" s="48">
        <v>1000000</v>
      </c>
      <c r="N33" s="970">
        <v>0.95</v>
      </c>
      <c r="O33" s="48">
        <v>1000000</v>
      </c>
      <c r="P33" s="970">
        <v>0.95</v>
      </c>
      <c r="Q33" s="48">
        <v>1000000</v>
      </c>
      <c r="R33" s="970">
        <v>0.95</v>
      </c>
      <c r="S33" s="48">
        <v>1000000</v>
      </c>
      <c r="T33" s="970">
        <v>0.95</v>
      </c>
      <c r="U33" s="48">
        <v>1000000</v>
      </c>
      <c r="V33" s="970">
        <v>0.95</v>
      </c>
      <c r="W33" s="48">
        <v>1000000</v>
      </c>
      <c r="X33" s="970">
        <v>0.95</v>
      </c>
      <c r="Y33" s="48">
        <v>1000000</v>
      </c>
      <c r="Z33" s="970">
        <v>0.95</v>
      </c>
      <c r="AA33" s="48">
        <v>1000000</v>
      </c>
      <c r="AB33" s="970">
        <v>0.95</v>
      </c>
      <c r="AC33" s="48">
        <v>1000000</v>
      </c>
      <c r="AD33">
        <v>0.95</v>
      </c>
      <c r="AE33" s="48">
        <v>1000000</v>
      </c>
      <c r="AF33">
        <v>0.95</v>
      </c>
      <c r="AG33" s="48">
        <v>1000000</v>
      </c>
      <c r="AH33">
        <v>0.95</v>
      </c>
      <c r="AI33" s="48">
        <v>1000000</v>
      </c>
      <c r="AJ33">
        <v>0.95</v>
      </c>
      <c r="AK33" s="48">
        <v>1000000</v>
      </c>
      <c r="AL33">
        <v>0.95</v>
      </c>
      <c r="AM33" s="48">
        <v>1000000</v>
      </c>
      <c r="AN33">
        <v>0.95</v>
      </c>
      <c r="AO33" s="48">
        <v>1000000</v>
      </c>
      <c r="AP33">
        <v>0.95</v>
      </c>
      <c r="AQ33" s="48">
        <v>1000000</v>
      </c>
      <c r="AR33">
        <v>0.95</v>
      </c>
      <c r="AS33" s="48">
        <v>1000000</v>
      </c>
      <c r="AT33">
        <v>0.95</v>
      </c>
    </row>
    <row r="34" spans="1:46" thickBot="1">
      <c r="A34" s="554" t="s">
        <v>47</v>
      </c>
      <c r="B34" s="478" t="s">
        <v>125</v>
      </c>
      <c r="C34" s="807">
        <v>2000000</v>
      </c>
      <c r="D34" s="970">
        <v>1.9</v>
      </c>
      <c r="E34" s="48">
        <v>2000000</v>
      </c>
      <c r="F34" s="970">
        <v>1.91</v>
      </c>
      <c r="G34" s="48">
        <v>2000000</v>
      </c>
      <c r="H34" s="970">
        <v>1.9</v>
      </c>
      <c r="I34" s="48">
        <v>2000000</v>
      </c>
      <c r="J34" s="970">
        <v>1.91</v>
      </c>
      <c r="K34" s="48">
        <v>2000000</v>
      </c>
      <c r="L34" s="970">
        <v>1.9</v>
      </c>
      <c r="M34" s="48">
        <v>2000000</v>
      </c>
      <c r="N34" s="970">
        <v>1.9</v>
      </c>
      <c r="O34" s="48">
        <v>2000000</v>
      </c>
      <c r="P34" s="970">
        <v>1.9</v>
      </c>
      <c r="Q34" s="48">
        <v>2000000</v>
      </c>
      <c r="R34" s="970">
        <v>1.9</v>
      </c>
      <c r="S34" s="48">
        <v>2000000</v>
      </c>
      <c r="T34" s="970">
        <v>1.9</v>
      </c>
      <c r="U34" s="48">
        <v>2000000</v>
      </c>
      <c r="V34" s="970">
        <v>1.9</v>
      </c>
      <c r="W34" s="48">
        <v>2000000</v>
      </c>
      <c r="X34" s="970">
        <v>1.9</v>
      </c>
      <c r="Y34" s="48">
        <v>2000000</v>
      </c>
      <c r="Z34" s="970">
        <v>1.9</v>
      </c>
      <c r="AA34" s="48">
        <v>2000000</v>
      </c>
      <c r="AB34" s="970">
        <v>1.9</v>
      </c>
      <c r="AC34" s="48">
        <v>2000000</v>
      </c>
      <c r="AD34">
        <v>1.9</v>
      </c>
      <c r="AE34" s="48">
        <v>2000000</v>
      </c>
      <c r="AF34">
        <v>1.9</v>
      </c>
      <c r="AG34" s="48">
        <v>2000000</v>
      </c>
      <c r="AH34">
        <v>1.9</v>
      </c>
      <c r="AI34" s="48">
        <v>2000000</v>
      </c>
      <c r="AJ34">
        <v>1.9</v>
      </c>
      <c r="AK34" s="48">
        <v>2000000</v>
      </c>
      <c r="AL34">
        <v>1.9</v>
      </c>
      <c r="AM34" s="48">
        <v>2000000</v>
      </c>
      <c r="AN34">
        <v>1.9</v>
      </c>
      <c r="AO34" s="48">
        <v>2000000</v>
      </c>
      <c r="AP34">
        <v>1.9</v>
      </c>
      <c r="AQ34" s="48">
        <v>2000000</v>
      </c>
      <c r="AR34">
        <v>1.9</v>
      </c>
      <c r="AS34" s="48">
        <v>2000000</v>
      </c>
      <c r="AT34">
        <v>1.89</v>
      </c>
    </row>
    <row r="35" spans="1:46" ht="16.5" thickBot="1">
      <c r="A35" s="1028" t="s">
        <v>111</v>
      </c>
      <c r="B35" s="1052"/>
      <c r="C35" s="95">
        <f t="shared" ref="C35:J35" si="63">SUM(C22:C34)</f>
        <v>27717108.920000002</v>
      </c>
      <c r="D35" s="95">
        <f t="shared" si="63"/>
        <v>26.29</v>
      </c>
      <c r="E35" s="95">
        <f t="shared" si="63"/>
        <v>27174193.77</v>
      </c>
      <c r="F35" s="95">
        <f t="shared" si="63"/>
        <v>25.899999999999995</v>
      </c>
      <c r="G35" s="95">
        <f t="shared" si="63"/>
        <v>27174193.77</v>
      </c>
      <c r="H35" s="95">
        <f t="shared" si="63"/>
        <v>25.879999999999995</v>
      </c>
      <c r="I35" s="95">
        <f t="shared" si="63"/>
        <v>27176772.77</v>
      </c>
      <c r="J35" s="95">
        <f t="shared" si="63"/>
        <v>25.889999999999997</v>
      </c>
      <c r="K35" s="95">
        <f t="shared" ref="K35:M35" si="64">SUM(K22:K34)</f>
        <v>27196516.870000001</v>
      </c>
      <c r="L35" s="95">
        <f t="shared" ref="L35:O35" si="65">SUM(L22:L34)</f>
        <v>25.9</v>
      </c>
      <c r="M35" s="95">
        <f t="shared" si="64"/>
        <v>27358741.870000001</v>
      </c>
      <c r="N35" s="95">
        <f t="shared" si="65"/>
        <v>26.049999999999997</v>
      </c>
      <c r="O35" s="95">
        <f t="shared" si="65"/>
        <v>27365054.870000001</v>
      </c>
      <c r="P35" s="95">
        <f t="shared" ref="P35:Q35" si="66">SUM(P22:P34)</f>
        <v>26.049999999999997</v>
      </c>
      <c r="Q35" s="95">
        <f t="shared" si="66"/>
        <v>27424294.34</v>
      </c>
      <c r="R35" s="95">
        <f t="shared" ref="R35:S35" si="67">SUM(R22:R34)</f>
        <v>26.099999999999998</v>
      </c>
      <c r="S35" s="95">
        <f t="shared" si="67"/>
        <v>27424294.34</v>
      </c>
      <c r="T35" s="95">
        <f t="shared" ref="T35:U35" si="68">SUM(T22:T34)</f>
        <v>26.059999999999995</v>
      </c>
      <c r="U35" s="95">
        <f t="shared" si="68"/>
        <v>27416161.939999998</v>
      </c>
      <c r="V35" s="95">
        <f t="shared" ref="V35:W35" si="69">SUM(V22:V34)</f>
        <v>26.089999999999996</v>
      </c>
      <c r="W35" s="95">
        <f t="shared" si="69"/>
        <v>37555404.870000005</v>
      </c>
      <c r="X35" s="95">
        <f t="shared" ref="X35:Y35" si="70">SUM(X22:X34)</f>
        <v>35.71</v>
      </c>
      <c r="Y35" s="95">
        <f t="shared" si="70"/>
        <v>27458546.870000001</v>
      </c>
      <c r="Z35" s="95">
        <f t="shared" ref="Z35:AA35" si="71">SUM(Z22:Z34)</f>
        <v>26.11</v>
      </c>
      <c r="AA35" s="95">
        <f t="shared" si="71"/>
        <v>27458546.870000001</v>
      </c>
      <c r="AB35" s="95">
        <f t="shared" ref="AB35:AC35" si="72">SUM(AB22:AB34)</f>
        <v>26.11</v>
      </c>
      <c r="AC35" s="95">
        <f t="shared" si="72"/>
        <v>27458546.870000001</v>
      </c>
      <c r="AD35" s="95">
        <f t="shared" ref="AD35:AE35" si="73">SUM(AD22:AD34)</f>
        <v>26.049999999999997</v>
      </c>
      <c r="AE35" s="95">
        <f t="shared" si="73"/>
        <v>27458046.870000001</v>
      </c>
      <c r="AF35" s="95">
        <f t="shared" ref="AF35:AG35" si="74">SUM(AF22:AF34)</f>
        <v>26.049999999999997</v>
      </c>
      <c r="AG35" s="95">
        <f t="shared" si="74"/>
        <v>27385543.780000001</v>
      </c>
      <c r="AH35" s="95">
        <f t="shared" ref="AH35:AI35" si="75">SUM(AH22:AH34)</f>
        <v>25.98</v>
      </c>
      <c r="AI35" s="95">
        <f t="shared" si="75"/>
        <v>27462344.68</v>
      </c>
      <c r="AJ35" s="95">
        <f t="shared" ref="AJ35:AK35" si="76">SUM(AJ22:AJ34)</f>
        <v>26.009999999999998</v>
      </c>
      <c r="AK35" s="95">
        <f t="shared" si="76"/>
        <v>27460475.16</v>
      </c>
      <c r="AL35" s="95">
        <f t="shared" ref="AL35:AM35" si="77">SUM(AL22:AL34)</f>
        <v>26.029999999999998</v>
      </c>
      <c r="AM35" s="95">
        <f t="shared" si="77"/>
        <v>27470749.129999999</v>
      </c>
      <c r="AN35" s="95">
        <f t="shared" ref="AN35:AO35" si="78">SUM(AN22:AN34)</f>
        <v>26.04</v>
      </c>
      <c r="AO35" s="95">
        <f t="shared" si="78"/>
        <v>27470749.129999999</v>
      </c>
      <c r="AP35" s="95">
        <f t="shared" ref="AP35:AQ35" si="79">SUM(AP22:AP34)</f>
        <v>26.079999999999995</v>
      </c>
      <c r="AQ35" s="95">
        <f t="shared" si="79"/>
        <v>27470749.129999999</v>
      </c>
      <c r="AR35" s="95">
        <f t="shared" ref="AR35:AS35" si="80">SUM(AR22:AR34)</f>
        <v>26.04</v>
      </c>
      <c r="AS35" s="95">
        <f t="shared" si="80"/>
        <v>27488749.129999999</v>
      </c>
      <c r="AT35" s="95">
        <f t="shared" ref="AT35" si="81">SUM(AT22:AT34)</f>
        <v>26.04</v>
      </c>
    </row>
    <row r="36" spans="1:46" ht="16.5" thickBot="1">
      <c r="A36" s="1029" t="s">
        <v>48</v>
      </c>
      <c r="B36" s="1053"/>
      <c r="C36" s="921"/>
      <c r="D36" s="922"/>
      <c r="E36" s="921"/>
      <c r="F36" s="922"/>
      <c r="G36" s="921"/>
      <c r="H36" s="922"/>
      <c r="I36" s="921"/>
      <c r="J36" s="922"/>
      <c r="K36" s="921"/>
      <c r="L36" s="922"/>
      <c r="M36" s="921"/>
      <c r="N36" s="922"/>
      <c r="O36" s="921"/>
      <c r="P36" s="922"/>
      <c r="Q36" s="921"/>
      <c r="R36" s="922"/>
      <c r="S36" s="921"/>
      <c r="T36" s="922"/>
      <c r="U36" s="921"/>
      <c r="V36" s="922"/>
      <c r="W36" s="921"/>
      <c r="X36" s="922"/>
      <c r="Y36" s="921"/>
      <c r="Z36" s="922"/>
      <c r="AA36" s="921"/>
      <c r="AB36" s="922"/>
      <c r="AC36" s="921"/>
      <c r="AD36" s="922"/>
      <c r="AE36" s="921"/>
      <c r="AF36" s="922"/>
      <c r="AG36" s="921"/>
      <c r="AH36" s="922"/>
      <c r="AI36" s="921"/>
      <c r="AJ36" s="922"/>
      <c r="AK36" s="921"/>
      <c r="AL36" s="922"/>
      <c r="AM36" s="921"/>
      <c r="AN36" s="922"/>
      <c r="AO36" s="921"/>
      <c r="AP36" s="922"/>
      <c r="AQ36" s="921"/>
      <c r="AR36" s="922"/>
      <c r="AS36" s="921"/>
      <c r="AT36" s="922"/>
    </row>
    <row r="37" spans="1:46" ht="16.5" thickBot="1">
      <c r="A37" s="1031" t="s">
        <v>111</v>
      </c>
      <c r="B37" s="1051"/>
      <c r="C37" s="113"/>
      <c r="D37" s="923"/>
      <c r="E37" s="113"/>
      <c r="F37" s="923"/>
      <c r="G37" s="113"/>
      <c r="H37" s="923"/>
      <c r="I37" s="113"/>
      <c r="J37" s="923"/>
      <c r="K37" s="113"/>
      <c r="L37" s="923"/>
      <c r="M37" s="113"/>
      <c r="N37" s="923"/>
      <c r="O37" s="113"/>
      <c r="P37" s="923"/>
      <c r="Q37" s="113"/>
      <c r="R37" s="923"/>
      <c r="S37" s="113"/>
      <c r="T37" s="923"/>
      <c r="U37" s="113"/>
      <c r="V37" s="923"/>
      <c r="W37" s="113"/>
      <c r="X37" s="923"/>
      <c r="Y37" s="113"/>
      <c r="Z37" s="923"/>
      <c r="AA37" s="113"/>
      <c r="AB37" s="923"/>
      <c r="AC37" s="113"/>
      <c r="AD37" s="923"/>
      <c r="AE37" s="113"/>
      <c r="AF37" s="923"/>
      <c r="AG37" s="113"/>
      <c r="AH37" s="923"/>
      <c r="AI37" s="113"/>
      <c r="AJ37" s="923"/>
      <c r="AK37" s="113"/>
      <c r="AL37" s="923"/>
      <c r="AM37" s="113"/>
      <c r="AN37" s="923"/>
      <c r="AO37" s="113"/>
      <c r="AP37" s="923"/>
      <c r="AQ37" s="113"/>
      <c r="AR37" s="923"/>
      <c r="AS37" s="113"/>
      <c r="AT37" s="923"/>
    </row>
    <row r="38" spans="1:46" ht="16.5" thickBot="1">
      <c r="A38" s="114" t="s">
        <v>67</v>
      </c>
      <c r="B38" s="115" t="s">
        <v>74</v>
      </c>
      <c r="C38" s="821"/>
      <c r="D38" s="821"/>
      <c r="E38" s="821">
        <v>300</v>
      </c>
      <c r="F38" s="821"/>
      <c r="G38" s="821">
        <v>300</v>
      </c>
      <c r="H38" s="821"/>
      <c r="I38" s="821">
        <v>300</v>
      </c>
      <c r="J38" s="821"/>
      <c r="K38" s="821">
        <v>300</v>
      </c>
      <c r="L38" s="821"/>
      <c r="M38" s="821">
        <v>300</v>
      </c>
      <c r="N38" s="821"/>
      <c r="O38" s="821">
        <v>300</v>
      </c>
      <c r="P38" s="821"/>
      <c r="Q38" s="821">
        <v>300</v>
      </c>
      <c r="R38" s="821"/>
      <c r="S38" s="821">
        <v>300</v>
      </c>
      <c r="T38" s="821"/>
      <c r="U38" s="821">
        <v>300</v>
      </c>
      <c r="V38" s="821"/>
      <c r="W38" s="821">
        <v>300</v>
      </c>
      <c r="X38" s="821"/>
      <c r="Y38" s="821">
        <v>300</v>
      </c>
      <c r="Z38" s="821"/>
      <c r="AA38" s="821">
        <v>300</v>
      </c>
      <c r="AB38" s="821"/>
      <c r="AC38" s="821">
        <v>300</v>
      </c>
      <c r="AD38" s="821"/>
      <c r="AE38" s="821">
        <v>300</v>
      </c>
      <c r="AF38" s="821"/>
      <c r="AG38" s="821">
        <v>300</v>
      </c>
      <c r="AH38" s="821"/>
      <c r="AI38" s="821">
        <v>300</v>
      </c>
      <c r="AJ38" s="821"/>
      <c r="AK38" s="821">
        <v>300</v>
      </c>
      <c r="AL38" s="821"/>
      <c r="AM38" s="821">
        <v>300</v>
      </c>
      <c r="AN38" s="821"/>
      <c r="AO38" s="821">
        <v>300</v>
      </c>
      <c r="AP38" s="821"/>
      <c r="AQ38" s="821">
        <v>300</v>
      </c>
      <c r="AR38" s="821"/>
      <c r="AS38" s="821">
        <v>300</v>
      </c>
      <c r="AT38" s="821"/>
    </row>
    <row r="39" spans="1:46" ht="48" thickBot="1">
      <c r="A39" s="122" t="s">
        <v>58</v>
      </c>
      <c r="B39" s="123" t="s">
        <v>75</v>
      </c>
      <c r="C39" s="511">
        <v>8451.5300000000007</v>
      </c>
      <c r="D39" s="821">
        <v>0.01</v>
      </c>
      <c r="E39" s="473">
        <v>8620.56</v>
      </c>
      <c r="F39" s="821">
        <v>0.01</v>
      </c>
      <c r="G39" s="473">
        <v>8789.59</v>
      </c>
      <c r="H39" s="821">
        <v>0.01</v>
      </c>
      <c r="I39" s="473">
        <v>9296.68</v>
      </c>
      <c r="J39" s="821">
        <v>0.01</v>
      </c>
      <c r="K39" s="473">
        <v>9465.7099999999991</v>
      </c>
      <c r="L39" s="821">
        <v>0.01</v>
      </c>
      <c r="M39" s="473">
        <v>9634.74</v>
      </c>
      <c r="N39" s="821">
        <v>0.01</v>
      </c>
      <c r="O39" s="473">
        <v>9803.77</v>
      </c>
      <c r="P39" s="821">
        <v>0.01</v>
      </c>
      <c r="Q39" s="473">
        <v>9972.81</v>
      </c>
      <c r="R39" s="821">
        <v>0.01</v>
      </c>
      <c r="S39" s="473">
        <v>10479.9</v>
      </c>
      <c r="T39" s="821">
        <v>0.01</v>
      </c>
      <c r="U39" s="473">
        <v>10648.93</v>
      </c>
      <c r="V39" s="821">
        <v>0.01</v>
      </c>
      <c r="W39" s="473">
        <v>10817.96</v>
      </c>
      <c r="X39" s="821">
        <v>0.01</v>
      </c>
      <c r="Y39" s="473">
        <v>10986.99</v>
      </c>
      <c r="Z39" s="821">
        <v>0.01</v>
      </c>
      <c r="AA39" s="473">
        <v>11156.02</v>
      </c>
      <c r="AB39" s="821">
        <v>0.01</v>
      </c>
      <c r="AC39" s="473">
        <v>11663.11</v>
      </c>
      <c r="AD39" s="821">
        <v>0.01</v>
      </c>
      <c r="AE39" s="473">
        <v>11832.14</v>
      </c>
      <c r="AF39" s="821">
        <v>0.01</v>
      </c>
      <c r="AG39" s="473">
        <v>12001.17</v>
      </c>
      <c r="AH39" s="821">
        <v>0.01</v>
      </c>
      <c r="AI39" s="473">
        <v>12170.2</v>
      </c>
      <c r="AJ39" s="821">
        <v>0.01</v>
      </c>
      <c r="AK39" s="473">
        <v>12339.23</v>
      </c>
      <c r="AL39" s="821">
        <v>0.01</v>
      </c>
      <c r="AM39" s="473">
        <v>12846.33</v>
      </c>
      <c r="AN39" s="821">
        <v>0.01</v>
      </c>
      <c r="AO39" s="473">
        <v>13015.36</v>
      </c>
      <c r="AP39" s="821">
        <v>0.01</v>
      </c>
      <c r="AQ39" s="473">
        <v>13184.39</v>
      </c>
      <c r="AR39" s="821">
        <v>0.01</v>
      </c>
      <c r="AS39" s="473">
        <v>13353.42</v>
      </c>
      <c r="AT39" s="821">
        <v>0.01</v>
      </c>
    </row>
    <row r="40" spans="1:46" ht="32.25" thickBot="1">
      <c r="A40" s="122" t="s">
        <v>58</v>
      </c>
      <c r="B40" s="123" t="s">
        <v>131</v>
      </c>
      <c r="C40" s="821"/>
      <c r="D40" s="821"/>
      <c r="E40" s="821"/>
      <c r="F40" s="821"/>
      <c r="G40" s="821"/>
      <c r="H40" s="821"/>
      <c r="I40" s="821"/>
      <c r="J40" s="821"/>
      <c r="K40" s="821"/>
      <c r="L40" s="821"/>
      <c r="M40" s="821"/>
      <c r="N40" s="821"/>
      <c r="O40" s="821"/>
      <c r="P40" s="821"/>
      <c r="Q40" s="821"/>
      <c r="R40" s="821"/>
      <c r="S40" s="821"/>
      <c r="T40" s="821"/>
      <c r="U40" s="821"/>
      <c r="V40" s="821"/>
      <c r="W40" s="821"/>
      <c r="X40" s="821"/>
      <c r="Y40" s="821"/>
      <c r="Z40" s="821"/>
      <c r="AA40" s="821"/>
      <c r="AB40" s="821"/>
      <c r="AC40" s="821"/>
      <c r="AD40" s="821"/>
      <c r="AE40" s="821"/>
      <c r="AF40" s="821"/>
      <c r="AG40" s="821"/>
      <c r="AH40" s="821"/>
      <c r="AI40" s="821"/>
      <c r="AJ40" s="821"/>
      <c r="AK40" s="821"/>
      <c r="AL40" s="821"/>
      <c r="AM40" s="821"/>
      <c r="AN40" s="821"/>
      <c r="AO40" s="821"/>
      <c r="AP40" s="821"/>
      <c r="AQ40" s="821"/>
      <c r="AR40" s="821"/>
      <c r="AS40" s="821"/>
      <c r="AT40" s="821"/>
    </row>
    <row r="41" spans="1:46" ht="16.5" thickBot="1">
      <c r="A41" s="122" t="s">
        <v>101</v>
      </c>
      <c r="B41" s="123" t="s">
        <v>57</v>
      </c>
      <c r="C41" s="881">
        <v>906175.18</v>
      </c>
      <c r="D41" s="821">
        <v>0.86</v>
      </c>
      <c r="E41" s="833">
        <v>902430.66</v>
      </c>
      <c r="F41" s="821">
        <v>0.86</v>
      </c>
      <c r="G41" s="833">
        <v>898686.13</v>
      </c>
      <c r="H41" s="821">
        <v>0.86</v>
      </c>
      <c r="I41" s="833">
        <v>887452.55</v>
      </c>
      <c r="J41" s="821">
        <v>0.85</v>
      </c>
      <c r="K41" s="833">
        <v>883708.03</v>
      </c>
      <c r="L41" s="821">
        <v>0.83</v>
      </c>
      <c r="M41" s="833">
        <v>879963.5</v>
      </c>
      <c r="N41" s="821">
        <v>0.84</v>
      </c>
      <c r="O41" s="833">
        <v>876218.98</v>
      </c>
      <c r="P41" s="821">
        <v>0.83</v>
      </c>
      <c r="Q41" s="833">
        <v>872474.45</v>
      </c>
      <c r="R41" s="821">
        <v>0.83</v>
      </c>
      <c r="S41" s="833">
        <v>861240.88</v>
      </c>
      <c r="T41" s="821">
        <v>0.82</v>
      </c>
      <c r="U41" s="833">
        <v>857496.35</v>
      </c>
      <c r="V41" s="821">
        <v>0.82</v>
      </c>
      <c r="W41" s="833">
        <v>853751.82</v>
      </c>
      <c r="X41" s="821">
        <v>0.82</v>
      </c>
      <c r="Y41" s="833">
        <v>850007.3</v>
      </c>
      <c r="Z41" s="821">
        <v>0.81</v>
      </c>
      <c r="AA41" s="833">
        <v>846262.77</v>
      </c>
      <c r="AB41" s="821">
        <v>0.8</v>
      </c>
      <c r="AC41" s="833">
        <v>835029.2</v>
      </c>
      <c r="AD41" s="821">
        <v>0.79</v>
      </c>
      <c r="AE41" s="556">
        <v>831284.67</v>
      </c>
      <c r="AF41" s="821">
        <v>0.79</v>
      </c>
      <c r="AG41" s="556">
        <v>827540.15</v>
      </c>
      <c r="AH41" s="821">
        <v>0.79</v>
      </c>
      <c r="AI41" s="556">
        <v>823795.62</v>
      </c>
      <c r="AJ41" s="821">
        <v>0.78</v>
      </c>
      <c r="AK41" s="556">
        <v>820051.09</v>
      </c>
      <c r="AL41" s="821">
        <v>0.78</v>
      </c>
      <c r="AM41" s="556">
        <v>808817.52</v>
      </c>
      <c r="AN41" s="821">
        <v>0.77</v>
      </c>
      <c r="AO41" s="556">
        <v>805072.99</v>
      </c>
      <c r="AP41" s="821">
        <v>0.76</v>
      </c>
      <c r="AQ41" s="556">
        <v>801328.47</v>
      </c>
      <c r="AR41" s="821">
        <v>0.76</v>
      </c>
      <c r="AS41" s="556">
        <v>797583.94</v>
      </c>
      <c r="AT41" s="821">
        <v>0.76</v>
      </c>
    </row>
    <row r="42" spans="1:46" ht="16.5" thickBot="1">
      <c r="A42" s="122" t="s">
        <v>29</v>
      </c>
      <c r="B42" s="123" t="s">
        <v>57</v>
      </c>
      <c r="C42" s="981"/>
      <c r="D42" s="821"/>
      <c r="E42" s="981"/>
      <c r="F42" s="821"/>
      <c r="G42" s="981"/>
      <c r="H42" s="821"/>
      <c r="I42" s="981"/>
      <c r="J42" s="821"/>
      <c r="K42" s="981"/>
      <c r="L42" s="821"/>
      <c r="M42" s="981"/>
      <c r="N42" s="821"/>
      <c r="O42" s="981"/>
      <c r="P42" s="821"/>
      <c r="Q42" s="981"/>
      <c r="R42" s="821"/>
      <c r="S42" s="981"/>
      <c r="T42" s="821"/>
      <c r="U42" s="981"/>
      <c r="V42" s="821"/>
      <c r="W42" s="981"/>
      <c r="X42" s="821"/>
      <c r="Y42" s="981"/>
      <c r="Z42" s="821"/>
      <c r="AA42" s="981"/>
      <c r="AB42" s="821"/>
      <c r="AC42" s="981"/>
      <c r="AD42" s="821"/>
      <c r="AE42" s="981"/>
      <c r="AF42" s="821"/>
      <c r="AG42" s="981"/>
      <c r="AH42" s="821"/>
      <c r="AI42" s="981"/>
      <c r="AJ42" s="821"/>
      <c r="AK42" s="981"/>
      <c r="AL42" s="821"/>
      <c r="AM42" s="981"/>
      <c r="AN42" s="821"/>
      <c r="AO42" s="981"/>
      <c r="AP42" s="821"/>
      <c r="AQ42" s="981"/>
      <c r="AR42" s="821"/>
      <c r="AS42" s="981"/>
      <c r="AT42" s="821"/>
    </row>
    <row r="43" spans="1:46" ht="16.5" thickBot="1">
      <c r="A43" s="122" t="s">
        <v>37</v>
      </c>
      <c r="B43" s="123" t="s">
        <v>57</v>
      </c>
      <c r="C43" s="981"/>
      <c r="D43" s="821"/>
      <c r="E43" s="981"/>
      <c r="F43" s="821"/>
      <c r="G43" s="981"/>
      <c r="H43" s="821"/>
      <c r="I43" s="981"/>
      <c r="J43" s="821"/>
      <c r="K43" s="981"/>
      <c r="L43" s="821"/>
      <c r="M43" s="981"/>
      <c r="N43" s="821"/>
      <c r="O43" s="981"/>
      <c r="P43" s="821"/>
      <c r="Q43" s="981"/>
      <c r="R43" s="821"/>
      <c r="S43" s="981"/>
      <c r="T43" s="821"/>
      <c r="U43" s="981"/>
      <c r="V43" s="821"/>
      <c r="W43" s="981"/>
      <c r="X43" s="821"/>
      <c r="Y43" s="981"/>
      <c r="Z43" s="821"/>
      <c r="AA43" s="981"/>
      <c r="AB43" s="821"/>
      <c r="AC43" s="981"/>
      <c r="AD43" s="821"/>
      <c r="AE43" s="981"/>
      <c r="AF43" s="821"/>
      <c r="AG43" s="981"/>
      <c r="AH43" s="821"/>
      <c r="AI43" s="981"/>
      <c r="AJ43" s="821"/>
      <c r="AK43" s="981"/>
      <c r="AL43" s="821"/>
      <c r="AM43" s="981"/>
      <c r="AN43" s="821"/>
      <c r="AO43" s="981"/>
      <c r="AP43" s="821"/>
      <c r="AQ43" s="981"/>
      <c r="AR43" s="821"/>
      <c r="AS43" s="981"/>
      <c r="AT43" s="821"/>
    </row>
    <row r="44" spans="1:46">
      <c r="A44" s="122" t="s">
        <v>68</v>
      </c>
      <c r="B44" s="123" t="s">
        <v>57</v>
      </c>
      <c r="C44" s="982">
        <v>979634.61</v>
      </c>
      <c r="D44" s="987">
        <v>0.94</v>
      </c>
      <c r="E44" s="982">
        <v>977837.45000000007</v>
      </c>
      <c r="F44" s="987">
        <v>0.95</v>
      </c>
      <c r="G44" s="982">
        <v>976040.30999999994</v>
      </c>
      <c r="H44" s="987">
        <v>0.94</v>
      </c>
      <c r="I44" s="982">
        <v>970648.81</v>
      </c>
      <c r="J44" s="987">
        <v>0.94</v>
      </c>
      <c r="K44" s="982">
        <v>968851.66999999993</v>
      </c>
      <c r="L44" s="987">
        <v>0.93</v>
      </c>
      <c r="M44" s="982">
        <v>967054.49</v>
      </c>
      <c r="N44" s="987">
        <v>0.93</v>
      </c>
      <c r="O44" s="833">
        <v>965257.34000000008</v>
      </c>
      <c r="P44" s="987">
        <v>0.93</v>
      </c>
      <c r="Q44" s="833">
        <v>963460.17999999993</v>
      </c>
      <c r="R44" s="987">
        <v>0.92</v>
      </c>
      <c r="S44" s="833">
        <v>958068.68</v>
      </c>
      <c r="T44" s="987">
        <v>0.92</v>
      </c>
      <c r="U44" s="833">
        <v>956271.53999999992</v>
      </c>
      <c r="V44" s="987">
        <v>0.92</v>
      </c>
      <c r="W44" s="833">
        <v>954474.38</v>
      </c>
      <c r="X44" s="987">
        <v>0.92</v>
      </c>
      <c r="Y44" s="833">
        <v>952677.21999999986</v>
      </c>
      <c r="Z44" s="987">
        <v>0.92</v>
      </c>
      <c r="AA44" s="833">
        <v>950880.05</v>
      </c>
      <c r="AB44" s="987">
        <v>0.92</v>
      </c>
      <c r="AC44" s="833">
        <v>945488.57000000007</v>
      </c>
      <c r="AD44" s="987">
        <v>0.9</v>
      </c>
      <c r="AE44" s="833">
        <v>943691.39</v>
      </c>
      <c r="AF44" s="987">
        <v>0.9</v>
      </c>
      <c r="AG44" s="833">
        <v>941894.24000000011</v>
      </c>
      <c r="AH44" s="987">
        <v>0.89</v>
      </c>
      <c r="AI44" s="833">
        <v>940097.08000000007</v>
      </c>
      <c r="AJ44" s="987">
        <v>0.9</v>
      </c>
      <c r="AK44" s="833">
        <v>938299.89999999991</v>
      </c>
      <c r="AL44" s="987">
        <v>0.9</v>
      </c>
      <c r="AM44" s="833">
        <v>932908.43</v>
      </c>
      <c r="AN44" s="987">
        <v>0.89</v>
      </c>
      <c r="AO44" s="833">
        <v>931111.26</v>
      </c>
      <c r="AP44" s="987">
        <v>0.9</v>
      </c>
      <c r="AQ44" s="833">
        <v>929314.1</v>
      </c>
      <c r="AR44" s="987">
        <v>0.89</v>
      </c>
      <c r="AS44" s="833">
        <v>927516.97</v>
      </c>
      <c r="AT44" s="987">
        <v>0.89</v>
      </c>
    </row>
    <row r="45" spans="1:46">
      <c r="A45" s="122" t="s">
        <v>68</v>
      </c>
      <c r="B45" s="123" t="s">
        <v>57</v>
      </c>
      <c r="C45" s="881">
        <v>3667582.12</v>
      </c>
      <c r="D45" s="824">
        <v>3.48</v>
      </c>
      <c r="E45" s="833">
        <v>3664128.65</v>
      </c>
      <c r="F45" s="824">
        <v>3.49</v>
      </c>
      <c r="G45" s="833">
        <v>3660675.18</v>
      </c>
      <c r="H45" s="824">
        <v>3.49</v>
      </c>
      <c r="I45" s="833">
        <v>3650314.78</v>
      </c>
      <c r="J45" s="824">
        <v>3.48</v>
      </c>
      <c r="K45" s="833">
        <v>3646861.31</v>
      </c>
      <c r="L45" s="824">
        <v>3.48</v>
      </c>
      <c r="M45" s="833">
        <v>3643407.85</v>
      </c>
      <c r="N45" s="824">
        <v>3.47</v>
      </c>
      <c r="O45" s="833">
        <v>3639954.38</v>
      </c>
      <c r="P45" s="824">
        <v>3.46</v>
      </c>
      <c r="Q45" s="833">
        <v>3636500.91</v>
      </c>
      <c r="R45" s="824">
        <v>3.46</v>
      </c>
      <c r="S45" s="833">
        <v>3626140.51</v>
      </c>
      <c r="T45" s="824">
        <v>3.45</v>
      </c>
      <c r="U45" s="833">
        <v>3622687.04</v>
      </c>
      <c r="V45" s="824">
        <v>3.45</v>
      </c>
      <c r="W45" s="833">
        <v>3619233.58</v>
      </c>
      <c r="X45" s="824">
        <v>3.44</v>
      </c>
      <c r="Y45" s="833">
        <v>3615780.11</v>
      </c>
      <c r="Z45" s="824">
        <v>3.44</v>
      </c>
      <c r="AA45" s="833">
        <v>3612326.64</v>
      </c>
      <c r="AB45" s="824">
        <v>3.43</v>
      </c>
      <c r="AC45" s="833">
        <v>3601966.24</v>
      </c>
      <c r="AD45" s="824">
        <v>3.42</v>
      </c>
      <c r="AE45" s="833">
        <v>3598512.77</v>
      </c>
      <c r="AF45" s="824">
        <v>3.42</v>
      </c>
      <c r="AG45" s="833">
        <v>3595059.31</v>
      </c>
      <c r="AH45" s="824">
        <v>3.41</v>
      </c>
      <c r="AI45" s="833">
        <v>3591605.84</v>
      </c>
      <c r="AJ45" s="824">
        <v>3.41</v>
      </c>
      <c r="AK45" s="833">
        <v>3588152.37</v>
      </c>
      <c r="AL45" s="824">
        <v>3.4</v>
      </c>
      <c r="AM45" s="833">
        <v>3577791.97</v>
      </c>
      <c r="AN45" s="824">
        <v>3.39</v>
      </c>
      <c r="AO45" s="833">
        <v>3574338.5</v>
      </c>
      <c r="AP45" s="824">
        <v>3.39</v>
      </c>
      <c r="AQ45" s="833">
        <v>3570885.04</v>
      </c>
      <c r="AR45" s="824">
        <v>3.39</v>
      </c>
      <c r="AS45" s="833">
        <v>3567431.57</v>
      </c>
      <c r="AT45" s="824">
        <v>3.38</v>
      </c>
    </row>
    <row r="46" spans="1:46" ht="48" thickBot="1">
      <c r="A46" s="122" t="s">
        <v>70</v>
      </c>
      <c r="B46" s="123" t="s">
        <v>76</v>
      </c>
      <c r="C46" s="983">
        <v>1810900</v>
      </c>
      <c r="D46" s="824">
        <v>1.72</v>
      </c>
      <c r="E46" s="983">
        <v>1810900</v>
      </c>
      <c r="F46" s="824">
        <v>1.73</v>
      </c>
      <c r="G46" s="983">
        <v>1810900</v>
      </c>
      <c r="H46" s="824">
        <v>1.73</v>
      </c>
      <c r="I46" s="983">
        <v>1810900</v>
      </c>
      <c r="J46" s="824">
        <v>1.73</v>
      </c>
      <c r="K46" s="983">
        <v>1810900</v>
      </c>
      <c r="L46" s="824">
        <v>1.73</v>
      </c>
      <c r="M46" s="983">
        <v>1810900</v>
      </c>
      <c r="N46" s="824">
        <v>1.73</v>
      </c>
      <c r="O46" s="983">
        <v>1810900</v>
      </c>
      <c r="P46" s="824">
        <v>1.73</v>
      </c>
      <c r="Q46" s="983">
        <v>1810900</v>
      </c>
      <c r="R46" s="824">
        <v>1.73</v>
      </c>
      <c r="S46" s="983">
        <v>1810900</v>
      </c>
      <c r="T46" s="824">
        <v>1.72</v>
      </c>
      <c r="U46" s="983">
        <v>1810900</v>
      </c>
      <c r="V46" s="824">
        <v>1.72</v>
      </c>
      <c r="W46" s="983">
        <v>1810900</v>
      </c>
      <c r="X46" s="824">
        <v>1.72</v>
      </c>
      <c r="Y46" s="983">
        <v>1810900</v>
      </c>
      <c r="Z46" s="824">
        <v>1.72</v>
      </c>
      <c r="AA46" s="983">
        <v>1810900</v>
      </c>
      <c r="AB46" s="824">
        <v>1.72</v>
      </c>
      <c r="AC46" s="983">
        <v>1810900</v>
      </c>
      <c r="AD46" s="824">
        <v>1.72</v>
      </c>
      <c r="AE46" s="983">
        <v>1810900</v>
      </c>
      <c r="AF46" s="824">
        <v>1.72</v>
      </c>
      <c r="AG46" s="983">
        <v>1810900</v>
      </c>
      <c r="AH46" s="824">
        <v>1.72</v>
      </c>
      <c r="AI46" s="983">
        <v>1810900</v>
      </c>
      <c r="AJ46" s="824">
        <v>1.72</v>
      </c>
      <c r="AK46" s="983">
        <v>1810900</v>
      </c>
      <c r="AL46" s="824">
        <v>1.72</v>
      </c>
      <c r="AM46" s="983">
        <v>1810900</v>
      </c>
      <c r="AN46" s="824">
        <v>1.72</v>
      </c>
      <c r="AO46" s="983">
        <v>1810900</v>
      </c>
      <c r="AP46" s="824">
        <v>1.72</v>
      </c>
      <c r="AQ46" s="983">
        <v>1810900</v>
      </c>
      <c r="AR46" s="824">
        <v>1.72</v>
      </c>
      <c r="AS46" s="983">
        <v>1810900</v>
      </c>
      <c r="AT46" s="824">
        <v>1.72</v>
      </c>
    </row>
    <row r="47" spans="1:46" ht="15">
      <c r="A47" s="696" t="s">
        <v>105</v>
      </c>
      <c r="B47" s="696" t="s">
        <v>105</v>
      </c>
      <c r="C47" s="989"/>
      <c r="D47" s="821"/>
      <c r="E47" s="989"/>
      <c r="F47" s="821"/>
      <c r="G47" s="989"/>
      <c r="H47" s="821"/>
      <c r="I47" s="989"/>
      <c r="J47" s="821"/>
      <c r="K47" s="989"/>
      <c r="L47" s="821"/>
      <c r="M47" s="989"/>
      <c r="N47" s="821"/>
      <c r="O47" s="989"/>
      <c r="P47" s="821"/>
      <c r="Q47" s="989"/>
      <c r="R47" s="821"/>
      <c r="S47" s="989"/>
      <c r="T47" s="821"/>
      <c r="U47" s="989"/>
      <c r="V47" s="821"/>
      <c r="W47" s="989"/>
      <c r="X47" s="821"/>
      <c r="Y47" s="989"/>
      <c r="Z47" s="821"/>
      <c r="AA47" s="989"/>
      <c r="AB47" s="821"/>
      <c r="AC47" s="989"/>
      <c r="AD47" s="821"/>
      <c r="AE47" s="989"/>
      <c r="AF47" s="821"/>
      <c r="AG47" s="989"/>
      <c r="AH47" s="821"/>
      <c r="AI47" s="989"/>
      <c r="AJ47" s="821"/>
      <c r="AK47" s="989"/>
      <c r="AL47" s="821"/>
      <c r="AM47" s="989"/>
      <c r="AN47" s="821"/>
      <c r="AO47" s="989"/>
      <c r="AP47" s="821"/>
      <c r="AQ47" s="989"/>
      <c r="AR47" s="821"/>
      <c r="AS47" s="989"/>
      <c r="AT47" s="821"/>
    </row>
    <row r="48" spans="1:46">
      <c r="A48" s="122" t="s">
        <v>49</v>
      </c>
      <c r="B48" s="123" t="s">
        <v>50</v>
      </c>
      <c r="C48" s="984">
        <v>4142.51</v>
      </c>
      <c r="D48" s="824">
        <v>0</v>
      </c>
      <c r="E48" s="984">
        <v>4142.51</v>
      </c>
      <c r="F48" s="824">
        <v>0</v>
      </c>
      <c r="G48" s="984">
        <v>4142.51</v>
      </c>
      <c r="H48" s="824">
        <v>0</v>
      </c>
      <c r="I48" s="984">
        <v>4142.51</v>
      </c>
      <c r="J48" s="824">
        <v>0</v>
      </c>
      <c r="K48" s="963">
        <v>5000.93</v>
      </c>
      <c r="L48" s="824">
        <v>0</v>
      </c>
      <c r="M48" s="963">
        <v>5000.93</v>
      </c>
      <c r="N48" s="824">
        <v>0</v>
      </c>
      <c r="O48" s="963">
        <v>5000.93</v>
      </c>
      <c r="P48" s="824">
        <v>0</v>
      </c>
      <c r="Q48" s="963">
        <v>5000.93</v>
      </c>
      <c r="R48" s="824">
        <v>0</v>
      </c>
      <c r="S48" s="963">
        <v>5000.93</v>
      </c>
      <c r="T48" s="824">
        <v>0</v>
      </c>
      <c r="U48" s="963">
        <v>5345.98</v>
      </c>
      <c r="V48" s="824">
        <v>0</v>
      </c>
      <c r="W48" s="963">
        <v>4690.7</v>
      </c>
      <c r="X48" s="824">
        <v>0</v>
      </c>
      <c r="Y48" s="963">
        <v>4690.7</v>
      </c>
      <c r="Z48" s="824">
        <v>0</v>
      </c>
      <c r="AA48" s="963">
        <v>4690.7</v>
      </c>
      <c r="AB48" s="824">
        <v>0</v>
      </c>
      <c r="AC48" s="963">
        <v>4690.7</v>
      </c>
      <c r="AD48" s="824">
        <v>0</v>
      </c>
      <c r="AE48" s="963">
        <v>4690.7</v>
      </c>
      <c r="AF48" s="824">
        <v>0</v>
      </c>
      <c r="AG48" s="963">
        <v>4690.7</v>
      </c>
      <c r="AH48" s="824">
        <v>0</v>
      </c>
      <c r="AI48" s="963">
        <v>4690.7</v>
      </c>
      <c r="AJ48" s="824">
        <v>0</v>
      </c>
      <c r="AK48" s="963">
        <v>14431.7</v>
      </c>
      <c r="AL48" s="824">
        <v>0.01</v>
      </c>
      <c r="AM48" s="963">
        <v>14431.7</v>
      </c>
      <c r="AN48" s="824">
        <v>0.01</v>
      </c>
      <c r="AO48" s="963">
        <v>14431.7</v>
      </c>
      <c r="AP48" s="824">
        <v>0.01</v>
      </c>
      <c r="AQ48" s="963">
        <v>14431.7</v>
      </c>
      <c r="AR48" s="824">
        <v>0.01</v>
      </c>
      <c r="AS48" s="963">
        <v>14431.7</v>
      </c>
      <c r="AT48" s="824">
        <v>0.01</v>
      </c>
    </row>
    <row r="49" spans="1:46" ht="48" thickBot="1">
      <c r="A49" s="122" t="s">
        <v>56</v>
      </c>
      <c r="B49" s="123" t="s">
        <v>77</v>
      </c>
      <c r="C49" s="985">
        <v>3214.12</v>
      </c>
      <c r="D49" s="824">
        <v>0</v>
      </c>
      <c r="E49" s="985">
        <v>3214.12</v>
      </c>
      <c r="F49" s="824">
        <v>0</v>
      </c>
      <c r="G49" s="985">
        <v>3214.12</v>
      </c>
      <c r="H49" s="824">
        <v>0</v>
      </c>
      <c r="I49" s="985">
        <v>3214.12</v>
      </c>
      <c r="J49" s="824">
        <v>0</v>
      </c>
      <c r="K49" s="985">
        <v>3214.12</v>
      </c>
      <c r="L49" s="824">
        <v>0</v>
      </c>
      <c r="M49" s="985">
        <v>3214.12</v>
      </c>
      <c r="N49" s="824">
        <v>0</v>
      </c>
      <c r="O49" s="985">
        <v>3214.12</v>
      </c>
      <c r="P49" s="824">
        <v>0</v>
      </c>
      <c r="Q49" s="985">
        <v>3214.12</v>
      </c>
      <c r="R49" s="824">
        <v>0</v>
      </c>
      <c r="S49" s="985">
        <v>3214.12</v>
      </c>
      <c r="T49" s="824">
        <v>0</v>
      </c>
      <c r="U49" s="999">
        <v>11346.52</v>
      </c>
      <c r="V49" s="824">
        <v>0.01</v>
      </c>
      <c r="W49" s="999">
        <v>11346.52</v>
      </c>
      <c r="X49" s="824">
        <v>0.01</v>
      </c>
      <c r="Y49" s="999">
        <v>11346.52</v>
      </c>
      <c r="Z49" s="824">
        <v>0.01</v>
      </c>
      <c r="AA49" s="999">
        <v>11346.52</v>
      </c>
      <c r="AB49" s="824">
        <v>0.01</v>
      </c>
      <c r="AC49" s="999">
        <v>11346.52</v>
      </c>
      <c r="AD49" s="824">
        <v>0.01</v>
      </c>
      <c r="AE49" s="999">
        <v>11346.52</v>
      </c>
      <c r="AF49" s="824">
        <v>0.01</v>
      </c>
      <c r="AG49" s="999">
        <v>11346.52</v>
      </c>
      <c r="AH49" s="824">
        <v>0.01</v>
      </c>
      <c r="AI49" s="999">
        <v>11346.52</v>
      </c>
      <c r="AJ49" s="824">
        <v>0.01</v>
      </c>
      <c r="AK49" s="999">
        <v>11346.52</v>
      </c>
      <c r="AL49" s="824">
        <v>0.01</v>
      </c>
      <c r="AM49" s="999">
        <v>11346.52</v>
      </c>
      <c r="AN49" s="824">
        <v>0.01</v>
      </c>
      <c r="AO49" s="999">
        <v>11346.52</v>
      </c>
      <c r="AP49" s="824">
        <v>0.01</v>
      </c>
      <c r="AQ49" s="999">
        <v>11346.52</v>
      </c>
      <c r="AR49" s="824">
        <v>0.01</v>
      </c>
      <c r="AS49" s="999">
        <v>11346.52</v>
      </c>
      <c r="AT49" s="824">
        <v>0.01</v>
      </c>
    </row>
    <row r="50" spans="1:46" ht="78.75">
      <c r="A50" s="132" t="s">
        <v>72</v>
      </c>
      <c r="B50" s="123" t="s">
        <v>78</v>
      </c>
      <c r="C50" s="952">
        <v>2595.87</v>
      </c>
      <c r="D50" s="821">
        <v>0</v>
      </c>
      <c r="E50" s="952">
        <v>2595.87</v>
      </c>
      <c r="F50" s="821">
        <v>0</v>
      </c>
      <c r="G50" s="952">
        <v>2595.87</v>
      </c>
      <c r="H50" s="821">
        <v>0</v>
      </c>
      <c r="I50" s="952">
        <v>2595.87</v>
      </c>
      <c r="J50" s="821">
        <v>0</v>
      </c>
      <c r="K50" s="996">
        <v>3625.61</v>
      </c>
      <c r="L50" s="821">
        <v>0</v>
      </c>
      <c r="M50" s="996">
        <v>3625.61</v>
      </c>
      <c r="N50" s="821">
        <v>0</v>
      </c>
      <c r="O50" s="996">
        <v>3625.61</v>
      </c>
      <c r="P50" s="821">
        <v>0</v>
      </c>
      <c r="Q50" s="996">
        <v>3625.61</v>
      </c>
      <c r="R50" s="821">
        <v>0</v>
      </c>
      <c r="S50" s="996">
        <v>3625.61</v>
      </c>
      <c r="T50" s="821">
        <v>0</v>
      </c>
      <c r="U50" s="996">
        <v>3625.61</v>
      </c>
      <c r="V50" s="821">
        <v>0</v>
      </c>
      <c r="W50" s="996">
        <v>3625.61</v>
      </c>
      <c r="X50" s="821">
        <v>0</v>
      </c>
      <c r="Y50" s="996">
        <v>3625.61</v>
      </c>
      <c r="Z50" s="821">
        <v>0</v>
      </c>
      <c r="AA50" s="996">
        <v>3625.61</v>
      </c>
      <c r="AB50" s="821">
        <v>0</v>
      </c>
      <c r="AC50" s="996">
        <v>3625.61</v>
      </c>
      <c r="AD50" s="821">
        <v>0</v>
      </c>
      <c r="AE50" s="996">
        <v>3625.61</v>
      </c>
      <c r="AF50" s="821">
        <v>0</v>
      </c>
      <c r="AG50" s="996">
        <v>3625.61</v>
      </c>
      <c r="AH50" s="821">
        <v>0</v>
      </c>
      <c r="AI50" s="996">
        <v>3625.61</v>
      </c>
      <c r="AJ50" s="821">
        <v>0</v>
      </c>
      <c r="AK50" s="996">
        <v>3625.61</v>
      </c>
      <c r="AL50" s="821">
        <v>0</v>
      </c>
      <c r="AM50" s="996">
        <v>3625.61</v>
      </c>
      <c r="AN50" s="821">
        <v>0</v>
      </c>
      <c r="AO50" s="996">
        <v>3625.61</v>
      </c>
      <c r="AP50" s="821">
        <v>0</v>
      </c>
      <c r="AQ50" s="996">
        <v>3625.61</v>
      </c>
      <c r="AR50" s="821">
        <v>0</v>
      </c>
      <c r="AS50" s="996">
        <v>3625.61</v>
      </c>
      <c r="AT50" s="821">
        <v>0</v>
      </c>
    </row>
    <row r="51" spans="1:46" ht="31.5">
      <c r="A51" s="132" t="s">
        <v>51</v>
      </c>
      <c r="B51" s="123" t="s">
        <v>52</v>
      </c>
      <c r="C51" s="976">
        <v>18971.510000000002</v>
      </c>
      <c r="D51" s="840">
        <v>0.02</v>
      </c>
      <c r="E51" s="976">
        <v>18971.510000000002</v>
      </c>
      <c r="F51" s="840">
        <v>0.02</v>
      </c>
      <c r="G51" s="976">
        <v>18971.510000000002</v>
      </c>
      <c r="H51" s="840">
        <v>0.02</v>
      </c>
      <c r="I51" s="976">
        <v>18971.510000000002</v>
      </c>
      <c r="J51" s="840">
        <v>0.02</v>
      </c>
      <c r="K51" s="976">
        <v>0</v>
      </c>
      <c r="L51" s="840">
        <v>0</v>
      </c>
      <c r="M51" s="976">
        <v>0</v>
      </c>
      <c r="N51" s="840">
        <v>0</v>
      </c>
      <c r="O51" s="976">
        <v>0</v>
      </c>
      <c r="P51" s="840">
        <v>0</v>
      </c>
      <c r="Q51" s="976">
        <v>0</v>
      </c>
      <c r="R51" s="840">
        <v>0</v>
      </c>
      <c r="S51" s="976">
        <v>0</v>
      </c>
      <c r="T51" s="840">
        <v>0</v>
      </c>
      <c r="U51" s="976">
        <v>0</v>
      </c>
      <c r="V51" s="840">
        <v>0</v>
      </c>
      <c r="W51" s="976">
        <v>0</v>
      </c>
      <c r="X51" s="840">
        <v>0</v>
      </c>
      <c r="Y51" s="976">
        <v>0</v>
      </c>
      <c r="Z51" s="840">
        <v>0</v>
      </c>
      <c r="AA51" s="976">
        <v>0</v>
      </c>
      <c r="AB51" s="840">
        <v>0</v>
      </c>
      <c r="AC51" s="976">
        <v>0</v>
      </c>
      <c r="AD51" s="840">
        <v>0</v>
      </c>
      <c r="AE51" s="976">
        <v>0</v>
      </c>
      <c r="AF51" s="840">
        <v>0</v>
      </c>
      <c r="AG51" s="976">
        <v>0</v>
      </c>
      <c r="AH51" s="840">
        <v>0</v>
      </c>
      <c r="AI51" s="976">
        <v>0</v>
      </c>
      <c r="AJ51" s="840">
        <v>0</v>
      </c>
      <c r="AK51" s="976">
        <v>0</v>
      </c>
      <c r="AL51" s="840">
        <v>0</v>
      </c>
      <c r="AM51" s="976">
        <v>0</v>
      </c>
      <c r="AN51" s="840">
        <v>0</v>
      </c>
      <c r="AO51" s="976">
        <v>0</v>
      </c>
      <c r="AP51" s="840">
        <v>0</v>
      </c>
      <c r="AQ51" s="976">
        <v>0</v>
      </c>
      <c r="AR51" s="840">
        <v>0</v>
      </c>
      <c r="AS51" s="976">
        <v>0</v>
      </c>
      <c r="AT51" s="840">
        <v>0</v>
      </c>
    </row>
    <row r="52" spans="1:46" ht="15">
      <c r="A52" s="1049" t="s">
        <v>127</v>
      </c>
      <c r="B52" s="1050"/>
      <c r="C52" s="976">
        <v>76416.89</v>
      </c>
      <c r="D52" s="840">
        <v>7.0000000000000007E-2</v>
      </c>
      <c r="E52" s="976">
        <v>76416.89</v>
      </c>
      <c r="F52" s="840">
        <v>7.0000000000000007E-2</v>
      </c>
      <c r="G52" s="976">
        <v>76416.89</v>
      </c>
      <c r="H52" s="840">
        <v>7.0000000000000007E-2</v>
      </c>
      <c r="I52" s="976">
        <v>76416.89</v>
      </c>
      <c r="J52" s="840">
        <v>7.0000000000000007E-2</v>
      </c>
      <c r="K52" s="976">
        <v>76416.89</v>
      </c>
      <c r="L52" s="840">
        <v>7.0000000000000007E-2</v>
      </c>
      <c r="M52" s="976">
        <v>76416.89</v>
      </c>
      <c r="N52" s="840">
        <v>7.0000000000000007E-2</v>
      </c>
      <c r="O52" s="976">
        <v>76416.89</v>
      </c>
      <c r="P52" s="840">
        <v>7.0000000000000007E-2</v>
      </c>
      <c r="Q52" s="976">
        <v>76416.89</v>
      </c>
      <c r="R52" s="840">
        <v>7.0000000000000007E-2</v>
      </c>
      <c r="S52" s="976">
        <v>76416.89</v>
      </c>
      <c r="T52" s="840">
        <v>7.0000000000000007E-2</v>
      </c>
      <c r="U52" s="976">
        <v>76416.89</v>
      </c>
      <c r="V52" s="840">
        <v>7.0000000000000007E-2</v>
      </c>
      <c r="W52" s="976">
        <v>76416.89</v>
      </c>
      <c r="X52" s="840">
        <v>7.0000000000000007E-2</v>
      </c>
      <c r="Y52" s="976">
        <v>76416.89</v>
      </c>
      <c r="Z52" s="840">
        <v>7.0000000000000007E-2</v>
      </c>
      <c r="AA52" s="976">
        <v>76416.89</v>
      </c>
      <c r="AB52" s="840">
        <v>7.0000000000000007E-2</v>
      </c>
      <c r="AC52" s="976">
        <v>76416.89</v>
      </c>
      <c r="AD52" s="840">
        <v>7.0000000000000007E-2</v>
      </c>
      <c r="AE52" s="976">
        <v>76416.89</v>
      </c>
      <c r="AF52" s="840">
        <v>7.0000000000000007E-2</v>
      </c>
      <c r="AG52" s="976">
        <v>76416.89</v>
      </c>
      <c r="AH52" s="840">
        <v>7.0000000000000007E-2</v>
      </c>
      <c r="AI52" s="976"/>
      <c r="AJ52" s="840"/>
      <c r="AK52" s="976"/>
      <c r="AL52" s="840"/>
      <c r="AM52" s="976"/>
      <c r="AN52" s="840"/>
      <c r="AO52" s="976"/>
      <c r="AP52" s="840"/>
      <c r="AQ52" s="976"/>
      <c r="AR52" s="840"/>
      <c r="AS52" s="976"/>
      <c r="AT52" s="840"/>
    </row>
    <row r="53" spans="1:46" ht="31.5">
      <c r="A53" s="133" t="s">
        <v>73</v>
      </c>
      <c r="B53" s="134" t="s">
        <v>53</v>
      </c>
      <c r="C53" s="998"/>
      <c r="D53" s="998"/>
      <c r="E53" s="998"/>
      <c r="F53" s="998"/>
      <c r="G53" s="998"/>
      <c r="H53" s="998"/>
      <c r="I53" s="998"/>
      <c r="J53" s="998"/>
      <c r="K53" s="998"/>
      <c r="L53" s="998"/>
      <c r="M53" s="998"/>
      <c r="N53" s="998"/>
      <c r="O53" s="998"/>
      <c r="P53" s="998"/>
      <c r="Q53" s="998"/>
      <c r="R53" s="998"/>
      <c r="S53" s="998"/>
      <c r="T53" s="998"/>
      <c r="U53" s="998"/>
      <c r="V53" s="998"/>
      <c r="W53" s="998"/>
      <c r="X53" s="998"/>
      <c r="Y53" s="998"/>
      <c r="Z53" s="998"/>
      <c r="AA53" s="998"/>
      <c r="AB53" s="998"/>
      <c r="AC53" s="998"/>
      <c r="AD53" s="998"/>
      <c r="AE53" s="998"/>
      <c r="AF53" s="998"/>
      <c r="AG53" s="998"/>
      <c r="AH53" s="998"/>
      <c r="AI53" s="998"/>
      <c r="AJ53" s="998"/>
      <c r="AK53" s="998"/>
      <c r="AL53" s="998"/>
      <c r="AM53" s="998"/>
      <c r="AN53" s="998"/>
      <c r="AO53" s="998"/>
      <c r="AP53" s="998"/>
      <c r="AQ53" s="998"/>
      <c r="AR53" s="998"/>
      <c r="AS53" s="998"/>
      <c r="AT53" s="998"/>
    </row>
    <row r="54" spans="1:46" ht="31.5">
      <c r="A54" s="122" t="s">
        <v>54</v>
      </c>
      <c r="B54" s="123" t="s">
        <v>79</v>
      </c>
      <c r="C54" s="976">
        <v>2284.0100000000002</v>
      </c>
      <c r="D54" s="840"/>
      <c r="E54" s="976">
        <v>2284.0100000000002</v>
      </c>
      <c r="F54" s="840"/>
      <c r="G54" s="976">
        <v>2284.0100000000002</v>
      </c>
      <c r="H54" s="840"/>
      <c r="I54" s="976">
        <v>2284.0100000000002</v>
      </c>
      <c r="J54" s="840"/>
      <c r="K54" s="976">
        <v>2284.0100000000002</v>
      </c>
      <c r="L54" s="840"/>
      <c r="M54" s="976">
        <v>2284.0100000000002</v>
      </c>
      <c r="N54" s="840"/>
      <c r="O54" s="976">
        <v>2284.0100000000002</v>
      </c>
      <c r="P54" s="840"/>
      <c r="Q54" s="976">
        <v>2284.0100000000002</v>
      </c>
      <c r="R54" s="840"/>
      <c r="S54" s="976">
        <v>2284.0100000000002</v>
      </c>
      <c r="T54" s="840"/>
      <c r="U54" s="976">
        <v>2284.0100000000002</v>
      </c>
      <c r="V54" s="840"/>
      <c r="W54" s="976">
        <v>2284.0100000000002</v>
      </c>
      <c r="X54" s="840"/>
      <c r="Y54" s="976">
        <v>2284.0100000000002</v>
      </c>
      <c r="Z54" s="840"/>
      <c r="AA54" s="976">
        <v>2284.0100000000002</v>
      </c>
      <c r="AB54" s="840"/>
      <c r="AC54" s="976">
        <v>2284.0100000000002</v>
      </c>
      <c r="AD54" s="840"/>
      <c r="AE54" s="976">
        <v>2284.0100000000002</v>
      </c>
      <c r="AF54" s="840"/>
      <c r="AG54" s="976">
        <v>2284.0100000000002</v>
      </c>
      <c r="AH54" s="840"/>
      <c r="AI54" s="976">
        <v>2284.0100000000002</v>
      </c>
      <c r="AJ54" s="840"/>
      <c r="AK54" s="976"/>
      <c r="AL54" s="840"/>
      <c r="AM54" s="976"/>
      <c r="AN54" s="840"/>
      <c r="AO54" s="976"/>
      <c r="AP54" s="840"/>
      <c r="AQ54" s="976"/>
      <c r="AR54" s="840"/>
      <c r="AS54" s="976"/>
      <c r="AT54" s="840"/>
    </row>
    <row r="55" spans="1:46" ht="32.25" thickBot="1">
      <c r="A55" s="135" t="s">
        <v>55</v>
      </c>
      <c r="B55" s="223" t="s">
        <v>80</v>
      </c>
      <c r="C55" s="986">
        <v>860.78</v>
      </c>
      <c r="D55" s="840"/>
      <c r="E55" s="986">
        <v>860.78</v>
      </c>
      <c r="F55" s="840"/>
      <c r="G55" s="986">
        <v>860.78</v>
      </c>
      <c r="H55" s="840"/>
      <c r="I55" s="986">
        <v>860.78</v>
      </c>
      <c r="J55" s="840"/>
      <c r="K55" s="997"/>
      <c r="L55" s="997"/>
      <c r="M55" s="997"/>
      <c r="N55" s="997"/>
      <c r="O55" s="997"/>
      <c r="P55" s="997"/>
      <c r="Q55" s="997"/>
      <c r="R55" s="997"/>
      <c r="S55" s="997"/>
      <c r="T55" s="997"/>
      <c r="U55" s="997"/>
      <c r="V55" s="997"/>
      <c r="W55" s="997"/>
      <c r="X55" s="997"/>
      <c r="Y55" s="997"/>
      <c r="Z55" s="997"/>
      <c r="AA55" s="997"/>
      <c r="AB55" s="997"/>
      <c r="AC55" s="997"/>
      <c r="AD55" s="997"/>
      <c r="AE55" s="997"/>
      <c r="AF55" s="997"/>
      <c r="AG55" s="997"/>
      <c r="AH55" s="997"/>
      <c r="AI55" s="997"/>
      <c r="AJ55" s="997"/>
      <c r="AK55" s="997"/>
      <c r="AL55" s="997"/>
      <c r="AM55" s="997"/>
      <c r="AN55" s="997"/>
      <c r="AO55" s="997"/>
      <c r="AP55" s="997"/>
      <c r="AQ55" s="997"/>
      <c r="AR55" s="997"/>
      <c r="AS55" s="997"/>
      <c r="AT55" s="997"/>
    </row>
    <row r="56" spans="1:46" ht="16.5" thickBot="1">
      <c r="A56" s="221" t="s">
        <v>99</v>
      </c>
      <c r="B56" s="222"/>
      <c r="C56" s="840"/>
      <c r="D56" s="840"/>
      <c r="E56" s="840"/>
      <c r="F56" s="840"/>
      <c r="G56" s="840"/>
      <c r="H56" s="840"/>
      <c r="I56" s="840"/>
      <c r="J56" s="840"/>
      <c r="K56" s="840"/>
      <c r="L56" s="840"/>
      <c r="M56" s="840"/>
      <c r="N56" s="840"/>
      <c r="O56" s="840"/>
      <c r="P56" s="840"/>
      <c r="Q56" s="840"/>
      <c r="R56" s="840"/>
      <c r="S56" s="840"/>
      <c r="T56" s="840"/>
      <c r="U56" s="840"/>
      <c r="V56" s="840"/>
      <c r="W56" s="840"/>
      <c r="X56" s="840"/>
      <c r="Y56" s="840"/>
      <c r="Z56" s="840"/>
      <c r="AA56" s="840"/>
      <c r="AB56" s="840"/>
      <c r="AC56" s="840"/>
      <c r="AD56" s="840"/>
      <c r="AE56" s="840"/>
      <c r="AF56" s="840"/>
      <c r="AG56" s="840"/>
      <c r="AH56" s="840"/>
      <c r="AI56" s="840"/>
      <c r="AJ56" s="840"/>
      <c r="AK56" s="840"/>
      <c r="AL56" s="840"/>
      <c r="AM56" s="840"/>
      <c r="AN56" s="840"/>
      <c r="AO56" s="840"/>
      <c r="AP56" s="840"/>
      <c r="AQ56" s="840"/>
      <c r="AR56" s="840"/>
      <c r="AS56" s="840"/>
      <c r="AT56" s="840"/>
    </row>
    <row r="57" spans="1:46" ht="15">
      <c r="A57" s="1045" t="s">
        <v>103</v>
      </c>
      <c r="B57" s="1046" t="s">
        <v>103</v>
      </c>
      <c r="C57" s="511">
        <v>1431.16</v>
      </c>
      <c r="D57" s="874">
        <v>0</v>
      </c>
      <c r="E57" s="473">
        <v>2862.33</v>
      </c>
      <c r="F57" s="874">
        <v>0</v>
      </c>
      <c r="G57" s="473">
        <v>4293.49</v>
      </c>
      <c r="H57" s="874">
        <v>0</v>
      </c>
      <c r="I57" s="473">
        <v>8586.99</v>
      </c>
      <c r="J57" s="874">
        <v>0.01</v>
      </c>
      <c r="K57" s="473">
        <v>10018.15</v>
      </c>
      <c r="L57" s="874">
        <v>0.01</v>
      </c>
      <c r="M57" s="473">
        <v>11449.32</v>
      </c>
      <c r="N57" s="874">
        <v>0.01</v>
      </c>
      <c r="O57" s="473">
        <v>12880.48</v>
      </c>
      <c r="P57" s="874">
        <v>0.01</v>
      </c>
      <c r="Q57" s="473">
        <v>14311.64</v>
      </c>
      <c r="R57" s="874">
        <v>0.01</v>
      </c>
      <c r="S57" s="473">
        <v>18605.14</v>
      </c>
      <c r="T57" s="874">
        <v>0.02</v>
      </c>
      <c r="U57" s="473">
        <v>20036.3</v>
      </c>
      <c r="V57" s="874">
        <v>0.02</v>
      </c>
      <c r="W57" s="473">
        <v>21467.47</v>
      </c>
      <c r="X57" s="874">
        <v>0.02</v>
      </c>
      <c r="Y57" s="473">
        <v>22898.63</v>
      </c>
      <c r="Z57" s="874">
        <v>0.02</v>
      </c>
      <c r="AA57" s="473">
        <v>24329.79</v>
      </c>
      <c r="AB57" s="874">
        <v>0.02</v>
      </c>
      <c r="AC57" s="473">
        <v>28623.29</v>
      </c>
      <c r="AD57" s="874">
        <v>0.03</v>
      </c>
      <c r="AE57" s="473">
        <v>30054.45</v>
      </c>
      <c r="AF57" s="874">
        <v>0.03</v>
      </c>
      <c r="AG57" s="473">
        <v>31485.62</v>
      </c>
      <c r="AH57" s="874">
        <v>0.03</v>
      </c>
      <c r="AI57" s="473">
        <v>32916.78</v>
      </c>
      <c r="AJ57" s="874">
        <v>0.03</v>
      </c>
      <c r="AK57" s="473">
        <v>34347.949999999997</v>
      </c>
      <c r="AL57" s="874">
        <v>0.03</v>
      </c>
      <c r="AM57" s="473">
        <v>38641.440000000002</v>
      </c>
      <c r="AN57" s="874">
        <v>0.04</v>
      </c>
      <c r="AO57" s="473">
        <v>40072.6</v>
      </c>
      <c r="AP57" s="874">
        <v>0.04</v>
      </c>
      <c r="AQ57" s="473">
        <v>41503.769999999997</v>
      </c>
      <c r="AR57" s="874">
        <v>0.04</v>
      </c>
      <c r="AS57" s="473">
        <v>42934.93</v>
      </c>
      <c r="AT57" s="874">
        <v>0.04</v>
      </c>
    </row>
    <row r="58" spans="1:46" ht="15">
      <c r="A58" s="785"/>
      <c r="B58" s="786"/>
      <c r="C58" s="511">
        <v>858.7</v>
      </c>
      <c r="D58" s="874">
        <v>0</v>
      </c>
      <c r="E58" s="473">
        <v>1717.4</v>
      </c>
      <c r="F58" s="874">
        <v>0</v>
      </c>
      <c r="G58" s="473">
        <v>2576.1</v>
      </c>
      <c r="H58" s="874">
        <v>0</v>
      </c>
      <c r="I58" s="473">
        <v>5152.1899999999996</v>
      </c>
      <c r="J58" s="874">
        <v>0</v>
      </c>
      <c r="K58" s="473">
        <v>6010.89</v>
      </c>
      <c r="L58" s="874">
        <v>0.01</v>
      </c>
      <c r="M58" s="473">
        <v>6869.59</v>
      </c>
      <c r="N58" s="874">
        <v>0.01</v>
      </c>
      <c r="O58" s="473">
        <v>7728.29</v>
      </c>
      <c r="P58" s="874">
        <v>0.01</v>
      </c>
      <c r="Q58" s="473">
        <v>8586.99</v>
      </c>
      <c r="R58" s="874">
        <v>0.01</v>
      </c>
      <c r="S58" s="473">
        <v>11163.08</v>
      </c>
      <c r="T58" s="874">
        <v>0.01</v>
      </c>
      <c r="U58" s="473">
        <v>12021.78</v>
      </c>
      <c r="V58" s="874">
        <v>0.01</v>
      </c>
      <c r="W58" s="473">
        <v>12880.48</v>
      </c>
      <c r="X58" s="874">
        <v>0.01</v>
      </c>
      <c r="Y58" s="473">
        <v>13739.18</v>
      </c>
      <c r="Z58" s="874">
        <v>0.01</v>
      </c>
      <c r="AA58" s="473">
        <v>14597.88</v>
      </c>
      <c r="AB58" s="874">
        <v>0.01</v>
      </c>
      <c r="AC58" s="473">
        <v>17173.97</v>
      </c>
      <c r="AD58" s="874">
        <v>0.02</v>
      </c>
      <c r="AE58" s="473">
        <v>18032.669999999998</v>
      </c>
      <c r="AF58" s="874">
        <v>0.02</v>
      </c>
      <c r="AG58" s="473">
        <v>18891.37</v>
      </c>
      <c r="AH58" s="874">
        <v>0.02</v>
      </c>
      <c r="AI58" s="473">
        <v>19750.07</v>
      </c>
      <c r="AJ58" s="874">
        <v>0.02</v>
      </c>
      <c r="AK58" s="473">
        <v>20608.77</v>
      </c>
      <c r="AL58" s="874">
        <v>0.02</v>
      </c>
      <c r="AM58" s="473">
        <v>23184.86</v>
      </c>
      <c r="AN58" s="874">
        <v>0.02</v>
      </c>
      <c r="AO58" s="473">
        <v>24043.56</v>
      </c>
      <c r="AP58" s="874">
        <v>0.02</v>
      </c>
      <c r="AQ58" s="473">
        <v>24902.26</v>
      </c>
      <c r="AR58" s="874">
        <v>0.02</v>
      </c>
      <c r="AS58" s="473">
        <v>25760.959999999999</v>
      </c>
      <c r="AT58" s="874">
        <v>0.02</v>
      </c>
    </row>
    <row r="59" spans="1:46" ht="33.75">
      <c r="A59" s="972" t="s">
        <v>95</v>
      </c>
      <c r="B59" s="973" t="s">
        <v>95</v>
      </c>
      <c r="C59" s="511">
        <v>1771.92</v>
      </c>
      <c r="D59" s="874">
        <v>0</v>
      </c>
      <c r="E59" s="536">
        <v>3543.84</v>
      </c>
      <c r="F59" s="874">
        <v>0</v>
      </c>
      <c r="G59" s="536">
        <v>5315.75</v>
      </c>
      <c r="H59" s="874">
        <v>0.01</v>
      </c>
      <c r="I59" s="536">
        <v>10631.51</v>
      </c>
      <c r="J59" s="874">
        <v>0.01</v>
      </c>
      <c r="K59" s="536">
        <v>12403.42</v>
      </c>
      <c r="L59" s="874">
        <v>0.01</v>
      </c>
      <c r="M59" s="536">
        <v>14175.34</v>
      </c>
      <c r="N59" s="874">
        <v>0.01</v>
      </c>
      <c r="O59" s="536">
        <v>15947.26</v>
      </c>
      <c r="P59" s="874">
        <v>0.02</v>
      </c>
      <c r="Q59" s="536">
        <v>17719.18</v>
      </c>
      <c r="R59" s="874">
        <v>0.02</v>
      </c>
      <c r="S59" s="536">
        <v>23034.93</v>
      </c>
      <c r="T59" s="874">
        <v>0.02</v>
      </c>
      <c r="U59" s="536">
        <v>24806.85</v>
      </c>
      <c r="V59" s="874">
        <v>0.02</v>
      </c>
      <c r="W59" s="536">
        <v>26578.77</v>
      </c>
      <c r="X59" s="874">
        <v>0.03</v>
      </c>
      <c r="Y59" s="536">
        <v>28350.68</v>
      </c>
      <c r="Z59" s="874">
        <v>0.03</v>
      </c>
      <c r="AA59" s="536">
        <v>30122.6</v>
      </c>
      <c r="AB59" s="874">
        <v>0.03</v>
      </c>
      <c r="AC59" s="536">
        <v>35438.36</v>
      </c>
      <c r="AD59" s="874">
        <v>0.03</v>
      </c>
      <c r="AE59" s="536">
        <v>37210.269999999997</v>
      </c>
      <c r="AF59" s="874">
        <v>0.04</v>
      </c>
      <c r="AG59" s="536">
        <v>38982.19</v>
      </c>
      <c r="AH59" s="874">
        <v>0.04</v>
      </c>
      <c r="AI59" s="536">
        <v>40754.11</v>
      </c>
      <c r="AJ59" s="874">
        <v>0.04</v>
      </c>
      <c r="AK59" s="536">
        <v>42526.03</v>
      </c>
      <c r="AL59" s="874">
        <v>0.04</v>
      </c>
      <c r="AM59" s="536">
        <v>47841.78</v>
      </c>
      <c r="AN59" s="874">
        <v>0.05</v>
      </c>
      <c r="AO59" s="536">
        <v>49613.7</v>
      </c>
      <c r="AP59" s="874">
        <v>0.05</v>
      </c>
      <c r="AQ59" s="536">
        <v>51385.62</v>
      </c>
      <c r="AR59" s="874">
        <v>0.05</v>
      </c>
      <c r="AS59" s="536">
        <v>53157.53</v>
      </c>
      <c r="AT59" s="874">
        <v>0.05</v>
      </c>
    </row>
    <row r="60" spans="1:46" ht="33.75">
      <c r="A60" s="972"/>
      <c r="B60" s="973" t="s">
        <v>95</v>
      </c>
      <c r="C60" s="511">
        <v>531.58000000000004</v>
      </c>
      <c r="D60" s="874">
        <v>0</v>
      </c>
      <c r="E60" s="536">
        <v>1063.1500000000001</v>
      </c>
      <c r="F60" s="874">
        <v>0</v>
      </c>
      <c r="G60" s="536">
        <v>1594.73</v>
      </c>
      <c r="H60" s="874">
        <v>0</v>
      </c>
      <c r="I60" s="536">
        <v>3189.45</v>
      </c>
      <c r="J60" s="874">
        <v>0</v>
      </c>
      <c r="K60" s="536">
        <v>3721.03</v>
      </c>
      <c r="L60" s="874">
        <v>0</v>
      </c>
      <c r="M60" s="536">
        <v>4252.6000000000004</v>
      </c>
      <c r="N60" s="874">
        <v>0</v>
      </c>
      <c r="O60" s="536">
        <v>4784.18</v>
      </c>
      <c r="P60" s="874">
        <v>0</v>
      </c>
      <c r="Q60" s="536">
        <v>5315.75</v>
      </c>
      <c r="R60" s="874">
        <v>0.01</v>
      </c>
      <c r="S60" s="536">
        <v>6910.48</v>
      </c>
      <c r="T60" s="874">
        <v>0.01</v>
      </c>
      <c r="U60" s="536">
        <v>7442.05</v>
      </c>
      <c r="V60" s="874">
        <v>0.01</v>
      </c>
      <c r="W60" s="536">
        <v>7973.63</v>
      </c>
      <c r="X60" s="874">
        <v>0.01</v>
      </c>
      <c r="Y60" s="536">
        <v>8505.2099999999991</v>
      </c>
      <c r="Z60" s="874">
        <v>0.01</v>
      </c>
      <c r="AA60" s="536">
        <v>9036.7800000000007</v>
      </c>
      <c r="AB60" s="874">
        <v>0.01</v>
      </c>
      <c r="AC60" s="536">
        <v>10631.51</v>
      </c>
      <c r="AD60" s="874">
        <v>0.01</v>
      </c>
      <c r="AE60" s="536">
        <v>11163.08</v>
      </c>
      <c r="AF60" s="874">
        <v>0.01</v>
      </c>
      <c r="AG60" s="536">
        <v>11694.66</v>
      </c>
      <c r="AH60" s="874">
        <v>0.01</v>
      </c>
      <c r="AI60" s="536">
        <v>12226.23</v>
      </c>
      <c r="AJ60" s="874">
        <v>0.01</v>
      </c>
      <c r="AK60" s="536">
        <v>12757.81</v>
      </c>
      <c r="AL60" s="874">
        <v>0.01</v>
      </c>
      <c r="AM60" s="536">
        <v>14352.53</v>
      </c>
      <c r="AN60" s="874">
        <v>0.01</v>
      </c>
      <c r="AO60" s="536">
        <v>14884.11</v>
      </c>
      <c r="AP60" s="874">
        <v>0.01</v>
      </c>
      <c r="AQ60" s="536">
        <v>15415.68</v>
      </c>
      <c r="AR60" s="874">
        <v>0.01</v>
      </c>
      <c r="AS60" s="536">
        <v>15947.26</v>
      </c>
      <c r="AT60" s="874">
        <v>0.01</v>
      </c>
    </row>
    <row r="61" spans="1:46" ht="15">
      <c r="A61" s="972"/>
      <c r="B61" s="973"/>
      <c r="C61" s="511">
        <v>34756.85</v>
      </c>
      <c r="D61" s="874">
        <v>0.03</v>
      </c>
      <c r="E61" s="536">
        <v>35451.99</v>
      </c>
      <c r="F61" s="874">
        <v>0.03</v>
      </c>
      <c r="G61" s="536">
        <v>36147.120000000003</v>
      </c>
      <c r="H61" s="874">
        <v>0.03</v>
      </c>
      <c r="I61" s="536">
        <v>38232.53</v>
      </c>
      <c r="J61" s="874">
        <v>0.04</v>
      </c>
      <c r="K61" s="536">
        <v>38927.67</v>
      </c>
      <c r="L61" s="874">
        <v>0.04</v>
      </c>
      <c r="M61" s="536">
        <v>39622.81</v>
      </c>
      <c r="N61" s="874">
        <v>0.04</v>
      </c>
      <c r="O61" s="536">
        <v>40317.949999999997</v>
      </c>
      <c r="P61" s="874">
        <v>0.04</v>
      </c>
      <c r="Q61" s="536">
        <v>41013.08</v>
      </c>
      <c r="R61" s="874">
        <v>0.04</v>
      </c>
      <c r="S61" s="536">
        <v>43098.49</v>
      </c>
      <c r="T61" s="874">
        <v>0.04</v>
      </c>
      <c r="U61" s="536">
        <v>43793.63</v>
      </c>
      <c r="V61" s="874">
        <v>0.04</v>
      </c>
      <c r="W61" s="536">
        <v>44488.77</v>
      </c>
      <c r="X61" s="874">
        <v>0.04</v>
      </c>
      <c r="Y61" s="536">
        <v>45183.9</v>
      </c>
      <c r="Z61" s="874">
        <v>0.04</v>
      </c>
      <c r="AA61" s="536">
        <v>45879.040000000001</v>
      </c>
      <c r="AB61" s="874">
        <v>0.04</v>
      </c>
      <c r="AC61" s="536">
        <v>47964.45</v>
      </c>
      <c r="AD61" s="874">
        <v>0.05</v>
      </c>
      <c r="AE61" s="536">
        <v>48659.59</v>
      </c>
      <c r="AF61" s="874">
        <v>0.05</v>
      </c>
      <c r="AG61" s="536">
        <v>49354.73</v>
      </c>
      <c r="AH61" s="874">
        <v>0.05</v>
      </c>
      <c r="AI61" s="536">
        <v>50049.86</v>
      </c>
      <c r="AJ61" s="874">
        <v>0.05</v>
      </c>
      <c r="AK61" s="536">
        <v>50745</v>
      </c>
      <c r="AL61" s="874">
        <v>0.05</v>
      </c>
      <c r="AM61" s="536">
        <v>52830.41</v>
      </c>
      <c r="AN61" s="874">
        <v>0.05</v>
      </c>
      <c r="AO61" s="536">
        <v>53525.55</v>
      </c>
      <c r="AP61" s="874">
        <v>0.05</v>
      </c>
      <c r="AQ61" s="536">
        <v>54220.68</v>
      </c>
      <c r="AR61" s="874">
        <v>0.05</v>
      </c>
      <c r="AS61" s="536">
        <v>54915.82</v>
      </c>
      <c r="AT61" s="874">
        <v>0.05</v>
      </c>
    </row>
    <row r="62" spans="1:46" ht="15">
      <c r="A62" s="1040" t="s">
        <v>126</v>
      </c>
      <c r="B62" s="1041"/>
      <c r="C62" s="511">
        <v>40710.49</v>
      </c>
      <c r="D62" s="874">
        <v>0.04</v>
      </c>
      <c r="E62" s="536">
        <v>42853.15</v>
      </c>
      <c r="F62" s="874">
        <v>0.04</v>
      </c>
      <c r="G62" s="536">
        <v>44995.8</v>
      </c>
      <c r="H62" s="874">
        <v>0.04</v>
      </c>
      <c r="I62" s="536">
        <v>51423.78</v>
      </c>
      <c r="J62" s="874">
        <v>0.05</v>
      </c>
      <c r="K62" s="536">
        <v>53566.43</v>
      </c>
      <c r="L62" s="874">
        <v>0.05</v>
      </c>
      <c r="M62" s="536">
        <v>55709.09</v>
      </c>
      <c r="N62" s="874">
        <v>0.05</v>
      </c>
      <c r="O62" s="536">
        <v>57851.75</v>
      </c>
      <c r="P62" s="874">
        <v>0.06</v>
      </c>
      <c r="Q62" s="536">
        <v>2142.66</v>
      </c>
      <c r="R62" s="874">
        <v>0</v>
      </c>
      <c r="S62" s="536">
        <v>8570.6299999999992</v>
      </c>
      <c r="T62" s="874">
        <v>0.01</v>
      </c>
      <c r="U62" s="536">
        <v>10713.29</v>
      </c>
      <c r="V62" s="874">
        <v>0.01</v>
      </c>
      <c r="W62" s="536">
        <v>12855.95</v>
      </c>
      <c r="X62" s="874">
        <v>0.01</v>
      </c>
      <c r="Y62" s="536">
        <v>14998.6</v>
      </c>
      <c r="Z62" s="874">
        <v>0.01</v>
      </c>
      <c r="AA62" s="536">
        <v>17141.259999999998</v>
      </c>
      <c r="AB62" s="874">
        <v>0.02</v>
      </c>
      <c r="AC62" s="536">
        <v>23569.23</v>
      </c>
      <c r="AD62" s="874">
        <v>0.02</v>
      </c>
      <c r="AE62" s="536">
        <v>25711.89</v>
      </c>
      <c r="AF62" s="874">
        <v>0.02</v>
      </c>
      <c r="AG62" s="536">
        <v>27854.55</v>
      </c>
      <c r="AH62" s="874">
        <v>0.03</v>
      </c>
      <c r="AI62" s="536">
        <v>29997.21</v>
      </c>
      <c r="AJ62" s="874">
        <v>0.03</v>
      </c>
      <c r="AK62" s="536">
        <v>32139.86</v>
      </c>
      <c r="AL62" s="874">
        <v>0.03</v>
      </c>
      <c r="AM62" s="536">
        <v>38567.839999999997</v>
      </c>
      <c r="AN62" s="874">
        <v>0.04</v>
      </c>
      <c r="AO62" s="536">
        <v>40710.49</v>
      </c>
      <c r="AP62" s="874">
        <v>0.04</v>
      </c>
      <c r="AQ62" s="536">
        <v>42853.15</v>
      </c>
      <c r="AR62" s="874">
        <v>0.04</v>
      </c>
      <c r="AS62" s="536">
        <v>44995.81</v>
      </c>
      <c r="AT62" s="874">
        <v>0.04</v>
      </c>
    </row>
    <row r="63" spans="1:46" ht="15">
      <c r="A63" s="1040" t="s">
        <v>126</v>
      </c>
      <c r="B63" s="1041"/>
      <c r="C63" s="511">
        <v>1703.77</v>
      </c>
      <c r="D63" s="874">
        <v>0</v>
      </c>
      <c r="E63" s="536">
        <v>2044.52</v>
      </c>
      <c r="F63" s="874">
        <v>0</v>
      </c>
      <c r="G63" s="536">
        <v>2385.27</v>
      </c>
      <c r="H63" s="874">
        <v>0</v>
      </c>
      <c r="I63" s="536">
        <v>3407.53</v>
      </c>
      <c r="J63" s="874">
        <v>0</v>
      </c>
      <c r="K63" s="536">
        <v>3748.29</v>
      </c>
      <c r="L63" s="874">
        <v>0</v>
      </c>
      <c r="M63" s="536">
        <v>4089.04</v>
      </c>
      <c r="N63" s="874">
        <v>0</v>
      </c>
      <c r="O63" s="536">
        <v>4429.79</v>
      </c>
      <c r="P63" s="874">
        <v>0</v>
      </c>
      <c r="Q63" s="536">
        <v>4770.55</v>
      </c>
      <c r="R63" s="874">
        <v>0</v>
      </c>
      <c r="S63" s="536">
        <v>5792.81</v>
      </c>
      <c r="T63" s="874">
        <v>0.01</v>
      </c>
      <c r="U63" s="536">
        <v>6133.56</v>
      </c>
      <c r="V63" s="874">
        <v>0.01</v>
      </c>
      <c r="W63" s="536">
        <v>6474.32</v>
      </c>
      <c r="X63" s="874">
        <v>0.01</v>
      </c>
      <c r="Y63" s="536">
        <v>6815.07</v>
      </c>
      <c r="Z63" s="874">
        <v>0.01</v>
      </c>
      <c r="AA63" s="536">
        <v>7155.82</v>
      </c>
      <c r="AB63" s="874">
        <v>0.01</v>
      </c>
      <c r="AC63" s="536">
        <v>8178.08</v>
      </c>
      <c r="AD63" s="874">
        <v>0.01</v>
      </c>
      <c r="AE63" s="536">
        <v>8518.84</v>
      </c>
      <c r="AF63" s="874">
        <v>0.01</v>
      </c>
      <c r="AG63" s="536">
        <v>8859.59</v>
      </c>
      <c r="AH63" s="874">
        <v>0.01</v>
      </c>
      <c r="AI63" s="536">
        <v>9200.34</v>
      </c>
      <c r="AJ63" s="874">
        <v>0.01</v>
      </c>
      <c r="AK63" s="536">
        <v>9541.1</v>
      </c>
      <c r="AL63" s="874">
        <v>0.01</v>
      </c>
      <c r="AM63" s="536">
        <v>340.75</v>
      </c>
      <c r="AN63" s="874">
        <v>0</v>
      </c>
      <c r="AO63" s="536">
        <v>681.51</v>
      </c>
      <c r="AP63" s="874">
        <v>0</v>
      </c>
      <c r="AQ63" s="536">
        <v>1022.26</v>
      </c>
      <c r="AR63" s="874">
        <v>0</v>
      </c>
      <c r="AS63" s="536">
        <v>1363.01</v>
      </c>
      <c r="AT63" s="874">
        <v>0</v>
      </c>
    </row>
    <row r="64" spans="1:46" ht="15">
      <c r="A64" s="783"/>
      <c r="B64" s="784"/>
      <c r="C64" s="511">
        <v>37859.07</v>
      </c>
      <c r="D64" s="988">
        <v>0.04</v>
      </c>
      <c r="E64" s="536">
        <v>38535.120000000003</v>
      </c>
      <c r="F64" s="988">
        <v>0.04</v>
      </c>
      <c r="G64" s="536">
        <v>39211.18</v>
      </c>
      <c r="H64" s="988">
        <v>0.04</v>
      </c>
      <c r="I64" s="536">
        <v>41239.339999999997</v>
      </c>
      <c r="J64" s="988">
        <v>0.04</v>
      </c>
      <c r="K64" s="536">
        <v>41915.4</v>
      </c>
      <c r="L64" s="988">
        <v>0.04</v>
      </c>
      <c r="M64" s="536">
        <v>42591.45</v>
      </c>
      <c r="N64" s="988">
        <v>0.04</v>
      </c>
      <c r="O64" s="536">
        <v>43267.51</v>
      </c>
      <c r="P64" s="988">
        <v>0.04</v>
      </c>
      <c r="Q64" s="536">
        <v>43943.56</v>
      </c>
      <c r="R64" s="988">
        <v>0.04</v>
      </c>
      <c r="S64" s="536">
        <v>45971.73</v>
      </c>
      <c r="T64" s="988">
        <v>0.04</v>
      </c>
      <c r="U64" s="536">
        <v>46647.78</v>
      </c>
      <c r="V64" s="988">
        <v>0.04</v>
      </c>
      <c r="W64" s="536">
        <v>47323.839999999997</v>
      </c>
      <c r="X64" s="988">
        <v>0.04</v>
      </c>
      <c r="Y64" s="536">
        <v>47999.89</v>
      </c>
      <c r="Z64" s="988">
        <v>0.05</v>
      </c>
      <c r="AA64" s="536">
        <v>48675.95</v>
      </c>
      <c r="AB64" s="988">
        <v>0.05</v>
      </c>
      <c r="AC64" s="536">
        <v>50704.11</v>
      </c>
      <c r="AD64" s="988">
        <v>0.05</v>
      </c>
      <c r="AE64" s="536">
        <v>51380.160000000003</v>
      </c>
      <c r="AF64" s="988">
        <v>0.05</v>
      </c>
      <c r="AG64" s="536">
        <v>52056.22</v>
      </c>
      <c r="AH64" s="988">
        <v>0.05</v>
      </c>
      <c r="AI64" s="536">
        <v>52732.27</v>
      </c>
      <c r="AJ64" s="988">
        <v>0.05</v>
      </c>
      <c r="AK64" s="536">
        <v>53408.33</v>
      </c>
      <c r="AL64" s="988">
        <v>0.05</v>
      </c>
      <c r="AM64" s="536">
        <v>55436.49</v>
      </c>
      <c r="AN64" s="988">
        <v>0.05</v>
      </c>
      <c r="AO64" s="536">
        <v>56112.55</v>
      </c>
      <c r="AP64" s="988">
        <v>0.05</v>
      </c>
      <c r="AQ64" s="536">
        <v>56788.6</v>
      </c>
      <c r="AR64" s="988">
        <v>0.05</v>
      </c>
      <c r="AS64" s="536">
        <v>57464.66</v>
      </c>
      <c r="AT64" s="988">
        <v>0.05</v>
      </c>
    </row>
    <row r="65" spans="1:46">
      <c r="A65" s="1042" t="s">
        <v>58</v>
      </c>
      <c r="B65" s="1043"/>
      <c r="C65" s="511">
        <v>2190.34</v>
      </c>
      <c r="D65" s="874">
        <v>0</v>
      </c>
      <c r="E65" s="536">
        <v>2244.3200000000002</v>
      </c>
      <c r="F65" s="874">
        <v>0</v>
      </c>
      <c r="G65" s="536">
        <v>2298.29</v>
      </c>
      <c r="H65" s="874">
        <v>0</v>
      </c>
      <c r="I65" s="536">
        <v>2460.2199999999998</v>
      </c>
      <c r="J65" s="874">
        <v>0</v>
      </c>
      <c r="K65" s="536">
        <v>53.98</v>
      </c>
      <c r="L65" s="874">
        <v>0</v>
      </c>
      <c r="M65" s="536">
        <v>107.95</v>
      </c>
      <c r="N65" s="874">
        <v>0</v>
      </c>
      <c r="O65" s="536">
        <v>161.93</v>
      </c>
      <c r="P65" s="874">
        <v>0</v>
      </c>
      <c r="Q65" s="536">
        <v>215.9</v>
      </c>
      <c r="R65" s="874">
        <v>0</v>
      </c>
      <c r="S65" s="536">
        <v>377.83</v>
      </c>
      <c r="T65" s="874">
        <v>0</v>
      </c>
      <c r="U65" s="536">
        <v>431.8</v>
      </c>
      <c r="V65" s="874">
        <v>0</v>
      </c>
      <c r="W65" s="536">
        <v>505.4</v>
      </c>
      <c r="X65" s="874">
        <v>0</v>
      </c>
      <c r="Y65" s="536">
        <v>579.01</v>
      </c>
      <c r="Z65" s="874">
        <v>0</v>
      </c>
      <c r="AA65" s="536">
        <v>652.61</v>
      </c>
      <c r="AB65" s="874">
        <v>0</v>
      </c>
      <c r="AC65" s="536">
        <v>873.42</v>
      </c>
      <c r="AD65" s="874">
        <v>0</v>
      </c>
      <c r="AE65" s="536">
        <v>947.02</v>
      </c>
      <c r="AF65" s="874">
        <v>0</v>
      </c>
      <c r="AG65" s="536">
        <v>1018.17</v>
      </c>
      <c r="AH65" s="874">
        <v>0</v>
      </c>
      <c r="AI65" s="536">
        <v>1089.32</v>
      </c>
      <c r="AJ65" s="874">
        <v>0</v>
      </c>
      <c r="AK65" s="536">
        <v>1160.47</v>
      </c>
      <c r="AL65" s="874">
        <v>0</v>
      </c>
      <c r="AM65" s="536">
        <v>1373.92</v>
      </c>
      <c r="AN65" s="874">
        <v>0</v>
      </c>
      <c r="AO65" s="536">
        <v>1445.07</v>
      </c>
      <c r="AP65" s="874">
        <v>0</v>
      </c>
      <c r="AQ65" s="536">
        <v>1516.21</v>
      </c>
      <c r="AR65" s="874">
        <v>0</v>
      </c>
      <c r="AS65" s="536">
        <v>1587.36</v>
      </c>
      <c r="AT65" s="874">
        <v>0</v>
      </c>
    </row>
    <row r="66" spans="1:46" s="459" customFormat="1">
      <c r="A66" s="458" t="s">
        <v>120</v>
      </c>
      <c r="B66" s="424" t="s">
        <v>105</v>
      </c>
      <c r="C66" s="986">
        <v>540</v>
      </c>
      <c r="D66" s="840"/>
      <c r="E66" s="986">
        <v>540</v>
      </c>
      <c r="F66" s="840"/>
      <c r="G66" s="986">
        <v>540</v>
      </c>
      <c r="H66" s="840"/>
      <c r="I66" s="994">
        <v>510</v>
      </c>
      <c r="J66" s="840"/>
      <c r="K66" s="994">
        <v>510</v>
      </c>
      <c r="L66" s="840"/>
      <c r="M66" s="994">
        <v>510</v>
      </c>
      <c r="N66" s="840"/>
      <c r="O66" s="994">
        <v>510</v>
      </c>
      <c r="P66" s="840"/>
      <c r="Q66" s="994">
        <v>510</v>
      </c>
      <c r="R66" s="840"/>
      <c r="S66" s="994">
        <v>510</v>
      </c>
      <c r="T66" s="840"/>
      <c r="U66" s="994">
        <v>510</v>
      </c>
      <c r="V66" s="840"/>
      <c r="W66" s="994">
        <v>510</v>
      </c>
      <c r="X66" s="840"/>
      <c r="Y66" s="994">
        <v>510</v>
      </c>
      <c r="Z66" s="840"/>
      <c r="AA66" s="994">
        <v>510</v>
      </c>
      <c r="AB66" s="840"/>
      <c r="AC66" s="994">
        <v>510</v>
      </c>
      <c r="AD66" s="840"/>
      <c r="AE66" s="994">
        <v>510</v>
      </c>
      <c r="AF66" s="840"/>
      <c r="AG66" s="994">
        <v>510</v>
      </c>
      <c r="AH66" s="840"/>
      <c r="AI66" s="994">
        <v>510</v>
      </c>
      <c r="AJ66" s="840"/>
      <c r="AK66" s="994">
        <v>510</v>
      </c>
      <c r="AL66" s="840"/>
      <c r="AM66" s="994">
        <v>510</v>
      </c>
      <c r="AN66" s="840"/>
      <c r="AO66" s="994">
        <v>510</v>
      </c>
      <c r="AP66" s="840"/>
      <c r="AQ66" s="994">
        <v>510</v>
      </c>
      <c r="AR66" s="840"/>
      <c r="AS66" s="994">
        <v>510</v>
      </c>
      <c r="AT66" s="840"/>
    </row>
    <row r="67" spans="1:46" s="459" customFormat="1">
      <c r="A67" s="543" t="s">
        <v>132</v>
      </c>
      <c r="B67" s="544"/>
      <c r="C67" s="623"/>
      <c r="D67" s="840"/>
      <c r="E67" s="623"/>
      <c r="F67" s="840"/>
      <c r="G67" s="623"/>
      <c r="H67" s="840"/>
      <c r="I67" s="623"/>
      <c r="J67" s="840"/>
      <c r="K67" s="623"/>
      <c r="L67" s="840"/>
      <c r="M67" s="623"/>
      <c r="N67" s="840"/>
      <c r="O67" s="623"/>
      <c r="P67" s="840"/>
      <c r="Q67" s="623"/>
      <c r="R67" s="840"/>
      <c r="S67" s="623"/>
      <c r="T67" s="840"/>
      <c r="U67" s="623"/>
      <c r="V67" s="840"/>
      <c r="W67" s="623"/>
      <c r="X67" s="840"/>
      <c r="Y67" s="623"/>
      <c r="Z67" s="840"/>
      <c r="AA67" s="623"/>
      <c r="AB67" s="840"/>
      <c r="AC67" s="623"/>
      <c r="AD67" s="840"/>
      <c r="AE67" s="623"/>
      <c r="AF67" s="840"/>
      <c r="AG67" s="623"/>
      <c r="AH67" s="840"/>
      <c r="AI67" s="623"/>
      <c r="AJ67" s="840"/>
      <c r="AK67" s="623"/>
      <c r="AL67" s="840"/>
      <c r="AM67" s="623"/>
      <c r="AN67" s="840"/>
      <c r="AO67" s="623"/>
      <c r="AP67" s="840"/>
      <c r="AQ67" s="623"/>
      <c r="AR67" s="840"/>
      <c r="AS67" s="623"/>
      <c r="AT67" s="840"/>
    </row>
    <row r="68" spans="1:46" s="459" customFormat="1" ht="15">
      <c r="A68" s="1032" t="s">
        <v>39</v>
      </c>
      <c r="B68" s="1056"/>
      <c r="C68" s="623"/>
      <c r="D68" s="680"/>
      <c r="E68" s="623"/>
      <c r="F68" s="680"/>
      <c r="G68" s="623"/>
      <c r="H68" s="680"/>
      <c r="I68" s="623"/>
      <c r="J68" s="680"/>
      <c r="K68" s="623"/>
      <c r="L68" s="680"/>
      <c r="M68" s="623"/>
      <c r="N68" s="680"/>
      <c r="O68" s="623"/>
      <c r="P68" s="680"/>
      <c r="Q68" s="623"/>
      <c r="R68" s="680"/>
      <c r="S68" s="623"/>
      <c r="T68" s="680"/>
      <c r="U68" s="623"/>
      <c r="V68" s="680"/>
      <c r="W68" s="623"/>
      <c r="X68" s="680"/>
      <c r="Y68" s="623"/>
      <c r="Z68" s="680"/>
      <c r="AA68" s="623"/>
      <c r="AB68" s="680"/>
      <c r="AC68" s="623"/>
      <c r="AD68" s="680"/>
      <c r="AE68" s="623"/>
      <c r="AF68" s="680"/>
      <c r="AG68" s="623"/>
      <c r="AH68" s="680"/>
      <c r="AI68" s="623"/>
      <c r="AJ68" s="680"/>
      <c r="AK68" s="623"/>
      <c r="AL68" s="680"/>
      <c r="AM68" s="623"/>
      <c r="AN68" s="680"/>
      <c r="AO68" s="623"/>
      <c r="AP68" s="680"/>
      <c r="AQ68" s="623"/>
      <c r="AR68" s="680"/>
      <c r="AS68" s="623"/>
      <c r="AT68" s="680"/>
    </row>
    <row r="69" spans="1:46" ht="16.5" thickBot="1">
      <c r="A69" s="1020"/>
      <c r="B69" s="1048"/>
      <c r="C69" s="939">
        <f t="shared" ref="C69:D69" si="82">SUM(C38:C68)</f>
        <v>7603583.0099999998</v>
      </c>
      <c r="D69" s="939">
        <f t="shared" si="82"/>
        <v>7.21</v>
      </c>
      <c r="E69" s="939">
        <f t="shared" ref="E69:F69" si="83">SUM(E38:E68)</f>
        <v>7603558.830000001</v>
      </c>
      <c r="F69" s="939">
        <f t="shared" si="83"/>
        <v>7.2400000000000011</v>
      </c>
      <c r="G69" s="939">
        <f t="shared" ref="G69:H69" si="84">SUM(G38:G68)</f>
        <v>7603234.629999999</v>
      </c>
      <c r="H69" s="939">
        <f t="shared" si="84"/>
        <v>7.2400000000000011</v>
      </c>
      <c r="I69" s="939">
        <f t="shared" ref="I69:J69" si="85">SUM(I38:I68)</f>
        <v>7602232.0500000007</v>
      </c>
      <c r="J69" s="939">
        <f t="shared" si="85"/>
        <v>7.2499999999999991</v>
      </c>
      <c r="K69" s="939">
        <f t="shared" ref="K69:L69" si="86">SUM(K38:K68)</f>
        <v>7581503.54</v>
      </c>
      <c r="L69" s="939">
        <f t="shared" si="86"/>
        <v>7.21</v>
      </c>
      <c r="M69" s="939">
        <f t="shared" ref="M69:N69" si="87">SUM(M38:M68)</f>
        <v>7581179.3299999991</v>
      </c>
      <c r="N69" s="939">
        <f t="shared" si="87"/>
        <v>7.21</v>
      </c>
      <c r="O69" s="939">
        <f t="shared" ref="O69:P69" si="88">SUM(O38:O68)</f>
        <v>7580855.169999999</v>
      </c>
      <c r="P69" s="939">
        <f t="shared" si="88"/>
        <v>7.21</v>
      </c>
      <c r="Q69" s="939">
        <f t="shared" ref="Q69:R69" si="89">SUM(Q38:Q68)</f>
        <v>7522679.2199999988</v>
      </c>
      <c r="R69" s="939">
        <f t="shared" si="89"/>
        <v>7.1499999999999986</v>
      </c>
      <c r="S69" s="939">
        <f t="shared" ref="S69:T69" si="90">SUM(S38:S68)</f>
        <v>7521706.6499999994</v>
      </c>
      <c r="T69" s="939">
        <f t="shared" si="90"/>
        <v>7.1499999999999986</v>
      </c>
      <c r="U69" s="939">
        <f t="shared" ref="U69:V69" si="91">SUM(U38:U68)</f>
        <v>7529859.9099999983</v>
      </c>
      <c r="V69" s="939">
        <f t="shared" si="91"/>
        <v>7.1599999999999984</v>
      </c>
      <c r="W69" s="939">
        <f t="shared" ref="W69:X69" si="92">SUM(W38:W68)</f>
        <v>7528900.0999999996</v>
      </c>
      <c r="X69" s="939">
        <f t="shared" si="92"/>
        <v>7.1599999999999984</v>
      </c>
      <c r="Y69" s="939">
        <f t="shared" ref="Y69:Z69" si="93">SUM(Y38:Y68)</f>
        <v>7528595.5199999977</v>
      </c>
      <c r="Z69" s="939">
        <f t="shared" si="93"/>
        <v>7.1599999999999984</v>
      </c>
      <c r="AA69" s="939">
        <f t="shared" ref="AA69:AB69" si="94">SUM(AA38:AA68)</f>
        <v>7528290.9400000004</v>
      </c>
      <c r="AB69" s="939">
        <f t="shared" si="94"/>
        <v>7.1499999999999986</v>
      </c>
      <c r="AC69" s="939">
        <f t="shared" ref="AC69:AD69" si="95">SUM(AC38:AC68)</f>
        <v>7527377.2700000005</v>
      </c>
      <c r="AD69" s="939">
        <f t="shared" si="95"/>
        <v>7.1399999999999988</v>
      </c>
      <c r="AE69" s="939">
        <f t="shared" ref="AE69:AF69" si="96">SUM(AE38:AE68)</f>
        <v>7527072.669999999</v>
      </c>
      <c r="AF69" s="939">
        <f t="shared" si="96"/>
        <v>7.1499999999999986</v>
      </c>
      <c r="AG69" s="939">
        <f t="shared" ref="AG69:AH69" si="97">SUM(AG38:AG68)</f>
        <v>7526765.7000000002</v>
      </c>
      <c r="AH69" s="939">
        <f t="shared" si="97"/>
        <v>7.1399999999999988</v>
      </c>
      <c r="AI69" s="939">
        <f t="shared" ref="AI69:AJ69" si="98">SUM(AI38:AI68)</f>
        <v>7450041.7700000014</v>
      </c>
      <c r="AJ69" s="939">
        <f t="shared" si="98"/>
        <v>7.0699999999999985</v>
      </c>
      <c r="AK69" s="939">
        <f t="shared" ref="AK69:AL69" si="99">SUM(AK38:AK68)</f>
        <v>7457191.7399999993</v>
      </c>
      <c r="AL69" s="939">
        <f t="shared" si="99"/>
        <v>7.0699999999999985</v>
      </c>
      <c r="AM69" s="939">
        <f t="shared" ref="AM69:AN69" si="100">SUM(AM38:AM68)</f>
        <v>7446048.1000000015</v>
      </c>
      <c r="AN69" s="939">
        <f t="shared" si="100"/>
        <v>7.0599999999999987</v>
      </c>
      <c r="AO69" s="939">
        <f t="shared" ref="AO69:AP69" si="101">SUM(AO38:AO68)</f>
        <v>7445741.0799999991</v>
      </c>
      <c r="AP69" s="939">
        <f t="shared" si="101"/>
        <v>7.0599999999999987</v>
      </c>
      <c r="AQ69" s="939">
        <f t="shared" ref="AQ69:AR69" si="102">SUM(AQ38:AQ68)</f>
        <v>7445434.0599999987</v>
      </c>
      <c r="AR69" s="939">
        <f t="shared" si="102"/>
        <v>7.0499999999999989</v>
      </c>
      <c r="AS69" s="939">
        <f t="shared" ref="AS69:AT69" si="103">SUM(AS38:AS68)</f>
        <v>7445127.0700000003</v>
      </c>
      <c r="AT69" s="939">
        <f t="shared" si="103"/>
        <v>7.0399999999999983</v>
      </c>
    </row>
    <row r="70" spans="1:46">
      <c r="B70" s="142" t="s">
        <v>59</v>
      </c>
      <c r="C70" s="940">
        <f t="shared" ref="C70:J70" si="104">C9+C14+C17</f>
        <v>63106292.019999996</v>
      </c>
      <c r="D70" s="940">
        <f t="shared" si="104"/>
        <v>59.85</v>
      </c>
      <c r="E70" s="940">
        <f t="shared" si="104"/>
        <v>63159575.369999997</v>
      </c>
      <c r="F70" s="940">
        <f t="shared" si="104"/>
        <v>60.190000000000005</v>
      </c>
      <c r="G70" s="940">
        <f t="shared" si="104"/>
        <v>63207473.340000004</v>
      </c>
      <c r="H70" s="940">
        <f t="shared" si="104"/>
        <v>60.21</v>
      </c>
      <c r="I70" s="940">
        <f t="shared" si="104"/>
        <v>63151977.060000002</v>
      </c>
      <c r="J70" s="940">
        <f t="shared" si="104"/>
        <v>60.18</v>
      </c>
      <c r="K70" s="940">
        <f t="shared" ref="K70:L70" si="105">K9+K14+K17</f>
        <v>63224127.450000003</v>
      </c>
      <c r="L70" s="940">
        <f t="shared" si="105"/>
        <v>60.21</v>
      </c>
      <c r="M70" s="940">
        <f t="shared" ref="M70:N70" si="106">M9+M14+M17</f>
        <v>63066534.539999999</v>
      </c>
      <c r="N70" s="940">
        <f t="shared" si="106"/>
        <v>60.06</v>
      </c>
      <c r="O70" s="940">
        <f t="shared" ref="O70:P70" si="107">O9+O14+O17</f>
        <v>63124482.979999997</v>
      </c>
      <c r="P70" s="940">
        <f t="shared" si="107"/>
        <v>60.08</v>
      </c>
      <c r="Q70" s="940">
        <f t="shared" ref="Q70:R70" si="108">Q9+Q14+Q17</f>
        <v>63172069.280000001</v>
      </c>
      <c r="R70" s="940">
        <f t="shared" si="108"/>
        <v>60.099999999999994</v>
      </c>
      <c r="S70" s="940">
        <f t="shared" ref="S70:T70" si="109">S9+S14+S17</f>
        <v>63249384.229999997</v>
      </c>
      <c r="T70" s="940">
        <f t="shared" si="109"/>
        <v>60.13</v>
      </c>
      <c r="U70" s="940">
        <f t="shared" ref="U70:V70" si="110">U9+U14+U17</f>
        <v>63122742.649999991</v>
      </c>
      <c r="V70" s="940">
        <f t="shared" si="110"/>
        <v>60.080000000000005</v>
      </c>
      <c r="W70" s="940">
        <f t="shared" ref="W70:X70" si="111">W9+W14+W17</f>
        <v>53083761.409999996</v>
      </c>
      <c r="X70" s="940">
        <f t="shared" si="111"/>
        <v>50.46</v>
      </c>
      <c r="Y70" s="940">
        <f t="shared" ref="Y70:Z70" si="112">Y9+Y14+Y17</f>
        <v>63195751.200000003</v>
      </c>
      <c r="Z70" s="940">
        <f t="shared" si="112"/>
        <v>60.07</v>
      </c>
      <c r="AA70" s="940">
        <f t="shared" ref="AA70:AB70" si="113">AA9+AA14+AA17</f>
        <v>63287914.799999997</v>
      </c>
      <c r="AB70" s="940">
        <f t="shared" si="113"/>
        <v>60.11</v>
      </c>
      <c r="AC70" s="940">
        <f t="shared" ref="AC70:AD70" si="114">AC9+AC14+AC17</f>
        <v>63401573.619999997</v>
      </c>
      <c r="AD70" s="940">
        <f t="shared" si="114"/>
        <v>60.16</v>
      </c>
      <c r="AE70" s="940">
        <f t="shared" ref="AE70:AF70" si="115">AE9+AE14+AE17</f>
        <v>63417758.18</v>
      </c>
      <c r="AF70" s="940">
        <f t="shared" si="115"/>
        <v>60.16</v>
      </c>
      <c r="AG70" s="940">
        <f t="shared" ref="AG70:AH70" si="116">AG9+AG14+AG17</f>
        <v>63476176.969999999</v>
      </c>
      <c r="AH70" s="940">
        <f t="shared" si="116"/>
        <v>60.23</v>
      </c>
      <c r="AI70" s="940">
        <f t="shared" ref="AI70:AJ70" si="117">AI9+AI14+AI17</f>
        <v>63602504.199999996</v>
      </c>
      <c r="AJ70" s="940">
        <f t="shared" si="117"/>
        <v>60.28</v>
      </c>
      <c r="AK70" s="940">
        <f t="shared" ref="AK70:AL70" si="118">AK9+AK14+AK17</f>
        <v>63554541.350000001</v>
      </c>
      <c r="AL70" s="940">
        <f t="shared" si="118"/>
        <v>60.26</v>
      </c>
      <c r="AM70" s="940">
        <f t="shared" ref="AM70:AN70" si="119">AM9+AM14+AM17</f>
        <v>63571497.210000001</v>
      </c>
      <c r="AN70" s="940">
        <f t="shared" si="119"/>
        <v>60.26</v>
      </c>
      <c r="AO70" s="940">
        <f t="shared" ref="AO70:AP70" si="120">AO9+AO14+AO17</f>
        <v>63429025.399999991</v>
      </c>
      <c r="AP70" s="940">
        <f t="shared" si="120"/>
        <v>60.21</v>
      </c>
      <c r="AQ70" s="940">
        <f t="shared" ref="AQ70:AR70" si="121">AQ9+AQ14+AQ17</f>
        <v>63579287.060000002</v>
      </c>
      <c r="AR70" s="940">
        <f t="shared" si="121"/>
        <v>60.27000000000001</v>
      </c>
      <c r="AS70" s="940">
        <f t="shared" ref="AS70:AT70" si="122">AS9+AS14+AS17</f>
        <v>63611288.470000006</v>
      </c>
      <c r="AT70" s="940">
        <f t="shared" si="122"/>
        <v>60.269999999999996</v>
      </c>
    </row>
    <row r="71" spans="1:46">
      <c r="A71" s="145"/>
      <c r="B71" s="145" t="s">
        <v>109</v>
      </c>
      <c r="C71" s="941">
        <f t="shared" ref="C71:D71" si="123">C35</f>
        <v>27717108.920000002</v>
      </c>
      <c r="D71" s="941">
        <f t="shared" si="123"/>
        <v>26.29</v>
      </c>
      <c r="E71" s="941">
        <f t="shared" ref="E71:F71" si="124">E35</f>
        <v>27174193.77</v>
      </c>
      <c r="F71" s="941">
        <f t="shared" si="124"/>
        <v>25.899999999999995</v>
      </c>
      <c r="G71" s="941">
        <f t="shared" ref="G71:H71" si="125">G35</f>
        <v>27174193.77</v>
      </c>
      <c r="H71" s="941">
        <f t="shared" si="125"/>
        <v>25.879999999999995</v>
      </c>
      <c r="I71" s="941">
        <f t="shared" ref="I71:J71" si="126">I35</f>
        <v>27176772.77</v>
      </c>
      <c r="J71" s="941">
        <f t="shared" si="126"/>
        <v>25.889999999999997</v>
      </c>
      <c r="K71" s="941">
        <f t="shared" ref="K71:L71" si="127">K35</f>
        <v>27196516.870000001</v>
      </c>
      <c r="L71" s="941">
        <f t="shared" si="127"/>
        <v>25.9</v>
      </c>
      <c r="M71" s="941">
        <f t="shared" ref="M71:N71" si="128">M35</f>
        <v>27358741.870000001</v>
      </c>
      <c r="N71" s="941">
        <f t="shared" si="128"/>
        <v>26.049999999999997</v>
      </c>
      <c r="O71" s="941">
        <f t="shared" ref="O71:P71" si="129">O35</f>
        <v>27365054.870000001</v>
      </c>
      <c r="P71" s="941">
        <f t="shared" si="129"/>
        <v>26.049999999999997</v>
      </c>
      <c r="Q71" s="941">
        <f t="shared" ref="Q71:R71" si="130">Q35</f>
        <v>27424294.34</v>
      </c>
      <c r="R71" s="941">
        <f t="shared" si="130"/>
        <v>26.099999999999998</v>
      </c>
      <c r="S71" s="941">
        <f t="shared" ref="S71:T71" si="131">S35</f>
        <v>27424294.34</v>
      </c>
      <c r="T71" s="941">
        <f t="shared" si="131"/>
        <v>26.059999999999995</v>
      </c>
      <c r="U71" s="941">
        <f t="shared" ref="U71:V71" si="132">U35</f>
        <v>27416161.939999998</v>
      </c>
      <c r="V71" s="941">
        <f t="shared" si="132"/>
        <v>26.089999999999996</v>
      </c>
      <c r="W71" s="941">
        <f t="shared" ref="W71:X71" si="133">W35</f>
        <v>37555404.870000005</v>
      </c>
      <c r="X71" s="941">
        <f t="shared" si="133"/>
        <v>35.71</v>
      </c>
      <c r="Y71" s="941">
        <f t="shared" ref="Y71:Z71" si="134">Y35</f>
        <v>27458546.870000001</v>
      </c>
      <c r="Z71" s="941">
        <f t="shared" si="134"/>
        <v>26.11</v>
      </c>
      <c r="AA71" s="941">
        <f t="shared" ref="AA71:AB71" si="135">AA35</f>
        <v>27458546.870000001</v>
      </c>
      <c r="AB71" s="941">
        <f t="shared" si="135"/>
        <v>26.11</v>
      </c>
      <c r="AC71" s="941">
        <f t="shared" ref="AC71:AD71" si="136">AC35</f>
        <v>27458546.870000001</v>
      </c>
      <c r="AD71" s="941">
        <f t="shared" si="136"/>
        <v>26.049999999999997</v>
      </c>
      <c r="AE71" s="941">
        <f t="shared" ref="AE71:AF71" si="137">AE35</f>
        <v>27458046.870000001</v>
      </c>
      <c r="AF71" s="941">
        <f t="shared" si="137"/>
        <v>26.049999999999997</v>
      </c>
      <c r="AG71" s="941">
        <f t="shared" ref="AG71:AH71" si="138">AG35</f>
        <v>27385543.780000001</v>
      </c>
      <c r="AH71" s="941">
        <f t="shared" si="138"/>
        <v>25.98</v>
      </c>
      <c r="AI71" s="941">
        <f t="shared" ref="AI71:AJ71" si="139">AI35</f>
        <v>27462344.68</v>
      </c>
      <c r="AJ71" s="941">
        <f t="shared" si="139"/>
        <v>26.009999999999998</v>
      </c>
      <c r="AK71" s="941">
        <f t="shared" ref="AK71:AL71" si="140">AK35</f>
        <v>27460475.16</v>
      </c>
      <c r="AL71" s="941">
        <f t="shared" si="140"/>
        <v>26.029999999999998</v>
      </c>
      <c r="AM71" s="941">
        <f t="shared" ref="AM71:AN71" si="141">AM35</f>
        <v>27470749.129999999</v>
      </c>
      <c r="AN71" s="941">
        <f t="shared" si="141"/>
        <v>26.04</v>
      </c>
      <c r="AO71" s="941">
        <f t="shared" ref="AO71:AP71" si="142">AO35</f>
        <v>27470749.129999999</v>
      </c>
      <c r="AP71" s="941">
        <f t="shared" si="142"/>
        <v>26.079999999999995</v>
      </c>
      <c r="AQ71" s="941">
        <f t="shared" ref="AQ71:AR71" si="143">AQ35</f>
        <v>27470749.129999999</v>
      </c>
      <c r="AR71" s="941">
        <f t="shared" si="143"/>
        <v>26.04</v>
      </c>
      <c r="AS71" s="941">
        <f t="shared" ref="AS71:AT71" si="144">AS35</f>
        <v>27488749.129999999</v>
      </c>
      <c r="AT71" s="941">
        <f t="shared" si="144"/>
        <v>26.04</v>
      </c>
    </row>
    <row r="72" spans="1:46">
      <c r="B72" s="145" t="s">
        <v>110</v>
      </c>
      <c r="C72" s="941">
        <f t="shared" ref="C72:D72" si="145">C21</f>
        <v>7005983.7000000002</v>
      </c>
      <c r="D72" s="941">
        <f t="shared" si="145"/>
        <v>6.6400000000000006</v>
      </c>
      <c r="E72" s="941">
        <f t="shared" ref="E72:F72" si="146">E21</f>
        <v>7005983.7000000002</v>
      </c>
      <c r="F72" s="941">
        <f t="shared" si="146"/>
        <v>6.67</v>
      </c>
      <c r="G72" s="941">
        <f t="shared" ref="G72:H72" si="147">G21</f>
        <v>7005983.7000000002</v>
      </c>
      <c r="H72" s="941">
        <f t="shared" si="147"/>
        <v>6.67</v>
      </c>
      <c r="I72" s="941">
        <f t="shared" ref="I72:J72" si="148">I21</f>
        <v>7005983.7000000002</v>
      </c>
      <c r="J72" s="941">
        <f t="shared" si="148"/>
        <v>6.68</v>
      </c>
      <c r="K72" s="941">
        <f t="shared" ref="K72:L72" si="149">K21</f>
        <v>7005983.7000000002</v>
      </c>
      <c r="L72" s="941">
        <f t="shared" si="149"/>
        <v>6.68</v>
      </c>
      <c r="M72" s="941">
        <f t="shared" ref="M72:N72" si="150">M21</f>
        <v>7005983.7000000002</v>
      </c>
      <c r="N72" s="941">
        <f t="shared" si="150"/>
        <v>6.67</v>
      </c>
      <c r="O72" s="941">
        <f t="shared" ref="O72:P72" si="151">O21</f>
        <v>7005983.7000000002</v>
      </c>
      <c r="P72" s="941">
        <f t="shared" si="151"/>
        <v>6.67</v>
      </c>
      <c r="Q72" s="941">
        <f t="shared" ref="Q72:R72" si="152">Q21</f>
        <v>7005983.7000000002</v>
      </c>
      <c r="R72" s="941">
        <f t="shared" si="152"/>
        <v>6.67</v>
      </c>
      <c r="S72" s="941">
        <f t="shared" ref="S72:T72" si="153">S21</f>
        <v>7005983.7000000002</v>
      </c>
      <c r="T72" s="941">
        <f t="shared" si="153"/>
        <v>6.66</v>
      </c>
      <c r="U72" s="941">
        <f t="shared" ref="U72:V72" si="154">U21</f>
        <v>7005983.7000000002</v>
      </c>
      <c r="V72" s="941">
        <f t="shared" si="154"/>
        <v>6.66</v>
      </c>
      <c r="W72" s="941">
        <f t="shared" ref="W72:X72" si="155">W21</f>
        <v>7005983.7000000002</v>
      </c>
      <c r="X72" s="941">
        <f t="shared" si="155"/>
        <v>6.67</v>
      </c>
      <c r="Y72" s="941">
        <f t="shared" ref="Y72:Z72" si="156">Y21</f>
        <v>7005983.7000000002</v>
      </c>
      <c r="Z72" s="941">
        <f t="shared" si="156"/>
        <v>6.66</v>
      </c>
      <c r="AA72" s="941">
        <f t="shared" ref="AA72:AB72" si="157">AA21</f>
        <v>7005983.7000000002</v>
      </c>
      <c r="AB72" s="941">
        <f t="shared" si="157"/>
        <v>6.66</v>
      </c>
      <c r="AC72" s="941">
        <f t="shared" ref="AC72:AD72" si="158">AC21</f>
        <v>7005983.7000000002</v>
      </c>
      <c r="AD72" s="941">
        <f t="shared" si="158"/>
        <v>6.65</v>
      </c>
      <c r="AE72" s="941">
        <f t="shared" ref="AE72:AF72" si="159">AE21</f>
        <v>7005983.7000000002</v>
      </c>
      <c r="AF72" s="941">
        <f t="shared" si="159"/>
        <v>6.65</v>
      </c>
      <c r="AG72" s="941">
        <f t="shared" ref="AG72:AH72" si="160">AG21</f>
        <v>7005983.7000000002</v>
      </c>
      <c r="AH72" s="941">
        <f t="shared" si="160"/>
        <v>6.65</v>
      </c>
      <c r="AI72" s="941">
        <f t="shared" ref="AI72:AJ72" si="161">AI21</f>
        <v>7005983.7000000002</v>
      </c>
      <c r="AJ72" s="941">
        <f t="shared" si="161"/>
        <v>6.65</v>
      </c>
      <c r="AK72" s="941">
        <f t="shared" ref="AK72:AL72" si="162">AK21</f>
        <v>7005983.7000000002</v>
      </c>
      <c r="AL72" s="941">
        <f t="shared" si="162"/>
        <v>6.6400000000000006</v>
      </c>
      <c r="AM72" s="941">
        <f t="shared" ref="AM72:AN72" si="163">AM21</f>
        <v>7005983.7000000002</v>
      </c>
      <c r="AN72" s="941">
        <f t="shared" si="163"/>
        <v>6.6400000000000006</v>
      </c>
      <c r="AO72" s="941">
        <f t="shared" ref="AO72:AP72" si="164">AO21</f>
        <v>7005983.7000000002</v>
      </c>
      <c r="AP72" s="941">
        <f t="shared" si="164"/>
        <v>6.65</v>
      </c>
      <c r="AQ72" s="941">
        <f t="shared" ref="AQ72:AR72" si="165">AQ21</f>
        <v>7005983.7000000002</v>
      </c>
      <c r="AR72" s="941">
        <f t="shared" si="165"/>
        <v>6.6400000000000006</v>
      </c>
      <c r="AS72" s="941">
        <f t="shared" ref="AS72:AT72" si="166">AS21</f>
        <v>7005983.7000000002</v>
      </c>
      <c r="AT72" s="941">
        <f t="shared" si="166"/>
        <v>6.6400000000000006</v>
      </c>
    </row>
    <row r="73" spans="1:46">
      <c r="B73" s="145" t="s">
        <v>122</v>
      </c>
      <c r="C73" s="941"/>
      <c r="D73" s="941"/>
      <c r="E73" s="941"/>
      <c r="F73" s="941"/>
      <c r="G73" s="941"/>
      <c r="H73" s="941"/>
      <c r="I73" s="941"/>
      <c r="J73" s="941"/>
      <c r="K73" s="941"/>
      <c r="L73" s="941"/>
      <c r="M73" s="941"/>
      <c r="N73" s="941"/>
      <c r="O73" s="941"/>
      <c r="P73" s="941"/>
      <c r="Q73" s="941"/>
      <c r="R73" s="941"/>
      <c r="S73" s="941"/>
      <c r="T73" s="941"/>
      <c r="U73" s="941"/>
      <c r="V73" s="941"/>
      <c r="W73" s="941"/>
      <c r="X73" s="941"/>
      <c r="Y73" s="941"/>
      <c r="Z73" s="941"/>
      <c r="AA73" s="941"/>
      <c r="AB73" s="941"/>
      <c r="AC73" s="941"/>
      <c r="AD73" s="941"/>
      <c r="AE73" s="941"/>
      <c r="AF73" s="941"/>
      <c r="AG73" s="941"/>
      <c r="AH73" s="941"/>
      <c r="AI73" s="941"/>
      <c r="AJ73" s="941"/>
      <c r="AK73" s="941"/>
      <c r="AL73" s="941"/>
      <c r="AM73" s="941"/>
      <c r="AN73" s="941"/>
      <c r="AO73" s="941"/>
      <c r="AP73" s="941"/>
      <c r="AQ73" s="941"/>
      <c r="AR73" s="941"/>
      <c r="AS73" s="941"/>
      <c r="AT73" s="941"/>
    </row>
    <row r="74" spans="1:46" ht="16.5" thickBot="1">
      <c r="A74" s="1037"/>
      <c r="B74" s="1038"/>
      <c r="C74" s="942">
        <f t="shared" ref="C74:D74" si="167">C69</f>
        <v>7603583.0099999998</v>
      </c>
      <c r="D74" s="942">
        <f t="shared" si="167"/>
        <v>7.21</v>
      </c>
      <c r="E74" s="942">
        <f t="shared" ref="E74:F74" si="168">E69</f>
        <v>7603558.830000001</v>
      </c>
      <c r="F74" s="942">
        <f t="shared" si="168"/>
        <v>7.2400000000000011</v>
      </c>
      <c r="G74" s="942">
        <f t="shared" ref="G74:H74" si="169">G69</f>
        <v>7603234.629999999</v>
      </c>
      <c r="H74" s="942">
        <f t="shared" si="169"/>
        <v>7.2400000000000011</v>
      </c>
      <c r="I74" s="942">
        <f t="shared" ref="I74:J74" si="170">I69</f>
        <v>7602232.0500000007</v>
      </c>
      <c r="J74" s="942">
        <f t="shared" si="170"/>
        <v>7.2499999999999991</v>
      </c>
      <c r="K74" s="942">
        <f t="shared" ref="K74:L74" si="171">K69</f>
        <v>7581503.54</v>
      </c>
      <c r="L74" s="942">
        <f t="shared" si="171"/>
        <v>7.21</v>
      </c>
      <c r="M74" s="942">
        <f t="shared" ref="M74:N74" si="172">M69</f>
        <v>7581179.3299999991</v>
      </c>
      <c r="N74" s="942">
        <f t="shared" si="172"/>
        <v>7.21</v>
      </c>
      <c r="O74" s="942">
        <f t="shared" ref="O74:P74" si="173">O69</f>
        <v>7580855.169999999</v>
      </c>
      <c r="P74" s="942">
        <f t="shared" si="173"/>
        <v>7.21</v>
      </c>
      <c r="Q74" s="942">
        <f t="shared" ref="Q74:R74" si="174">Q69</f>
        <v>7522679.2199999988</v>
      </c>
      <c r="R74" s="942">
        <f t="shared" si="174"/>
        <v>7.1499999999999986</v>
      </c>
      <c r="S74" s="942">
        <f t="shared" ref="S74:T74" si="175">S69</f>
        <v>7521706.6499999994</v>
      </c>
      <c r="T74" s="942">
        <f t="shared" si="175"/>
        <v>7.1499999999999986</v>
      </c>
      <c r="U74" s="942">
        <f t="shared" ref="U74:V74" si="176">U69</f>
        <v>7529859.9099999983</v>
      </c>
      <c r="V74" s="942">
        <f t="shared" si="176"/>
        <v>7.1599999999999984</v>
      </c>
      <c r="W74" s="942">
        <f t="shared" ref="W74:X74" si="177">W69</f>
        <v>7528900.0999999996</v>
      </c>
      <c r="X74" s="942">
        <f t="shared" si="177"/>
        <v>7.1599999999999984</v>
      </c>
      <c r="Y74" s="942">
        <f t="shared" ref="Y74:Z74" si="178">Y69</f>
        <v>7528595.5199999977</v>
      </c>
      <c r="Z74" s="942">
        <f t="shared" si="178"/>
        <v>7.1599999999999984</v>
      </c>
      <c r="AA74" s="942">
        <f t="shared" ref="AA74:AB74" si="179">AA69</f>
        <v>7528290.9400000004</v>
      </c>
      <c r="AB74" s="942">
        <f t="shared" si="179"/>
        <v>7.1499999999999986</v>
      </c>
      <c r="AC74" s="942">
        <f t="shared" ref="AC74:AD74" si="180">AC69</f>
        <v>7527377.2700000005</v>
      </c>
      <c r="AD74" s="942">
        <f t="shared" si="180"/>
        <v>7.1399999999999988</v>
      </c>
      <c r="AE74" s="942">
        <f t="shared" ref="AE74:AF74" si="181">AE69</f>
        <v>7527072.669999999</v>
      </c>
      <c r="AF74" s="942">
        <f t="shared" si="181"/>
        <v>7.1499999999999986</v>
      </c>
      <c r="AG74" s="942">
        <f t="shared" ref="AG74:AH74" si="182">AG69</f>
        <v>7526765.7000000002</v>
      </c>
      <c r="AH74" s="942">
        <f t="shared" si="182"/>
        <v>7.1399999999999988</v>
      </c>
      <c r="AI74" s="942">
        <f t="shared" ref="AI74:AJ74" si="183">AI69</f>
        <v>7450041.7700000014</v>
      </c>
      <c r="AJ74" s="942">
        <f t="shared" si="183"/>
        <v>7.0699999999999985</v>
      </c>
      <c r="AK74" s="942">
        <f t="shared" ref="AK74:AL74" si="184">AK69</f>
        <v>7457191.7399999993</v>
      </c>
      <c r="AL74" s="942">
        <f t="shared" si="184"/>
        <v>7.0699999999999985</v>
      </c>
      <c r="AM74" s="942">
        <f t="shared" ref="AM74:AN74" si="185">AM69</f>
        <v>7446048.1000000015</v>
      </c>
      <c r="AN74" s="942">
        <f t="shared" si="185"/>
        <v>7.0599999999999987</v>
      </c>
      <c r="AO74" s="942">
        <f t="shared" ref="AO74:AP74" si="186">AO69</f>
        <v>7445741.0799999991</v>
      </c>
      <c r="AP74" s="942">
        <f t="shared" si="186"/>
        <v>7.0599999999999987</v>
      </c>
      <c r="AQ74" s="942">
        <f t="shared" ref="AQ74:AR74" si="187">AQ69</f>
        <v>7445434.0599999987</v>
      </c>
      <c r="AR74" s="942">
        <f t="shared" si="187"/>
        <v>7.0499999999999989</v>
      </c>
      <c r="AS74" s="942">
        <f t="shared" ref="AS74:AT74" si="188">AS69</f>
        <v>7445127.0700000003</v>
      </c>
      <c r="AT74" s="942">
        <f t="shared" si="188"/>
        <v>7.0399999999999983</v>
      </c>
    </row>
    <row r="75" spans="1:46" ht="16.5" thickBot="1">
      <c r="A75" s="151"/>
      <c r="B75" s="152" t="s">
        <v>111</v>
      </c>
      <c r="C75" s="943">
        <f t="shared" ref="C75:D75" si="189">SUM(C70:C74)</f>
        <v>105432967.65000001</v>
      </c>
      <c r="D75" s="943">
        <f t="shared" si="189"/>
        <v>99.99</v>
      </c>
      <c r="E75" s="943">
        <f t="shared" ref="E75:F75" si="190">SUM(E70:E74)</f>
        <v>104943311.67</v>
      </c>
      <c r="F75" s="943">
        <f t="shared" si="190"/>
        <v>100</v>
      </c>
      <c r="G75" s="943">
        <f t="shared" ref="G75:H75" si="191">SUM(G70:G74)</f>
        <v>104990885.44</v>
      </c>
      <c r="H75" s="943">
        <f t="shared" si="191"/>
        <v>100</v>
      </c>
      <c r="I75" s="943">
        <f t="shared" ref="I75:J75" si="192">SUM(I70:I74)</f>
        <v>104936965.58</v>
      </c>
      <c r="J75" s="943">
        <f t="shared" si="192"/>
        <v>100</v>
      </c>
      <c r="K75" s="943">
        <f t="shared" ref="K75:L75" si="193">SUM(K70:K74)</f>
        <v>105008131.56000002</v>
      </c>
      <c r="L75" s="943">
        <f t="shared" si="193"/>
        <v>99.999999999999986</v>
      </c>
      <c r="M75" s="943">
        <f t="shared" ref="M75:N75" si="194">SUM(M70:M74)</f>
        <v>105012439.44</v>
      </c>
      <c r="N75" s="943">
        <f t="shared" si="194"/>
        <v>99.99</v>
      </c>
      <c r="O75" s="943">
        <f t="shared" ref="O75:P75" si="195">SUM(O70:O74)</f>
        <v>105076376.72</v>
      </c>
      <c r="P75" s="943">
        <f t="shared" si="195"/>
        <v>100.00999999999999</v>
      </c>
      <c r="Q75" s="943">
        <f t="shared" ref="Q75:R75" si="196">SUM(Q70:Q74)</f>
        <v>105125026.54000001</v>
      </c>
      <c r="R75" s="943">
        <f t="shared" si="196"/>
        <v>100.01999999999998</v>
      </c>
      <c r="S75" s="943">
        <f t="shared" ref="S75:T75" si="197">SUM(S70:S74)</f>
        <v>105201368.92</v>
      </c>
      <c r="T75" s="943">
        <f t="shared" si="197"/>
        <v>100</v>
      </c>
      <c r="U75" s="943">
        <f t="shared" ref="U75:V75" si="198">SUM(U70:U74)</f>
        <v>105074748.19999999</v>
      </c>
      <c r="V75" s="943">
        <f t="shared" si="198"/>
        <v>99.99</v>
      </c>
      <c r="W75" s="943">
        <f t="shared" ref="W75:X75" si="199">SUM(W70:W74)</f>
        <v>105174050.08</v>
      </c>
      <c r="X75" s="943">
        <f t="shared" si="199"/>
        <v>100</v>
      </c>
      <c r="Y75" s="943">
        <f t="shared" ref="Y75:Z75" si="200">SUM(Y70:Y74)</f>
        <v>105188877.29000001</v>
      </c>
      <c r="Z75" s="943">
        <f t="shared" si="200"/>
        <v>100</v>
      </c>
      <c r="AA75" s="943">
        <f t="shared" ref="AA75:AB75" si="201">SUM(AA70:AA74)</f>
        <v>105280736.31</v>
      </c>
      <c r="AB75" s="943">
        <f t="shared" si="201"/>
        <v>100.03</v>
      </c>
      <c r="AC75" s="943">
        <f t="shared" ref="AC75:AD75" si="202">SUM(AC70:AC74)</f>
        <v>105393481.45999999</v>
      </c>
      <c r="AD75" s="943">
        <f t="shared" si="202"/>
        <v>100</v>
      </c>
      <c r="AE75" s="943">
        <f t="shared" ref="AE75:AF75" si="203">SUM(AE70:AE74)</f>
        <v>105408861.42</v>
      </c>
      <c r="AF75" s="943">
        <f t="shared" si="203"/>
        <v>100.00999999999999</v>
      </c>
      <c r="AG75" s="943">
        <f t="shared" ref="AG75:AH75" si="204">SUM(AG70:AG74)</f>
        <v>105394470.15000001</v>
      </c>
      <c r="AH75" s="943">
        <f t="shared" si="204"/>
        <v>100</v>
      </c>
      <c r="AI75" s="943">
        <f t="shared" ref="AI75:AJ75" si="205">SUM(AI70:AI74)</f>
        <v>105520874.34999999</v>
      </c>
      <c r="AJ75" s="943">
        <f t="shared" si="205"/>
        <v>100.00999999999999</v>
      </c>
      <c r="AK75" s="943">
        <f t="shared" ref="AK75:AL75" si="206">SUM(AK70:AK74)</f>
        <v>105478191.95</v>
      </c>
      <c r="AL75" s="943">
        <f t="shared" si="206"/>
        <v>99.999999999999986</v>
      </c>
      <c r="AM75" s="943">
        <f t="shared" ref="AM75:AN75" si="207">SUM(AM70:AM74)</f>
        <v>105494278.14000002</v>
      </c>
      <c r="AN75" s="943">
        <f t="shared" si="207"/>
        <v>100</v>
      </c>
      <c r="AO75" s="943">
        <f t="shared" ref="AO75:AP75" si="208">SUM(AO70:AO74)</f>
        <v>105351499.30999999</v>
      </c>
      <c r="AP75" s="943">
        <f t="shared" si="208"/>
        <v>100</v>
      </c>
      <c r="AQ75" s="943">
        <f t="shared" ref="AQ75:AR75" si="209">SUM(AQ70:AQ74)</f>
        <v>105501453.95</v>
      </c>
      <c r="AR75" s="943">
        <f t="shared" si="209"/>
        <v>100</v>
      </c>
      <c r="AS75" s="943">
        <f t="shared" ref="AS75:AT75" si="210">SUM(AS70:AS74)</f>
        <v>105551148.37</v>
      </c>
      <c r="AT75" s="943">
        <f t="shared" si="210"/>
        <v>99.99</v>
      </c>
    </row>
    <row r="76" spans="1:46">
      <c r="C76" s="294" t="e">
        <f>#REF!-C75</f>
        <v>#REF!</v>
      </c>
    </row>
  </sheetData>
  <mergeCells count="37">
    <mergeCell ref="AM1:AN1"/>
    <mergeCell ref="AI1:AJ1"/>
    <mergeCell ref="O1:P1"/>
    <mergeCell ref="AE1:AF1"/>
    <mergeCell ref="AC1:AD1"/>
    <mergeCell ref="AA1:AB1"/>
    <mergeCell ref="AK1:AL1"/>
    <mergeCell ref="AG1:AH1"/>
    <mergeCell ref="M1:N1"/>
    <mergeCell ref="S1:T1"/>
    <mergeCell ref="U1:V1"/>
    <mergeCell ref="Q1:R1"/>
    <mergeCell ref="Y1:Z1"/>
    <mergeCell ref="W1:X1"/>
    <mergeCell ref="A74:B74"/>
    <mergeCell ref="A57:B57"/>
    <mergeCell ref="A62:B62"/>
    <mergeCell ref="A63:B63"/>
    <mergeCell ref="A65:B65"/>
    <mergeCell ref="A68:B68"/>
    <mergeCell ref="A69:B69"/>
    <mergeCell ref="AS1:AT1"/>
    <mergeCell ref="A52:B52"/>
    <mergeCell ref="C1:D1"/>
    <mergeCell ref="A9:B9"/>
    <mergeCell ref="A14:B14"/>
    <mergeCell ref="A21:B21"/>
    <mergeCell ref="E1:F1"/>
    <mergeCell ref="A17:B17"/>
    <mergeCell ref="A37:B37"/>
    <mergeCell ref="K1:L1"/>
    <mergeCell ref="G1:H1"/>
    <mergeCell ref="I1:J1"/>
    <mergeCell ref="A35:B35"/>
    <mergeCell ref="A36:B36"/>
    <mergeCell ref="AO1:AP1"/>
    <mergeCell ref="AQ1:AR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76"/>
  <sheetViews>
    <sheetView topLeftCell="AB34" workbookViewId="0">
      <selection activeCell="C52" sqref="C52"/>
    </sheetView>
  </sheetViews>
  <sheetFormatPr defaultColWidth="9.140625" defaultRowHeight="15.75"/>
  <cols>
    <col min="1" max="1" width="38.42578125" style="56" bestFit="1" customWidth="1"/>
    <col min="2" max="2" width="22.85546875" style="56" customWidth="1"/>
    <col min="3" max="3" width="15.85546875" style="26" customWidth="1"/>
    <col min="4" max="4" width="8.42578125" style="26" bestFit="1" customWidth="1"/>
    <col min="5" max="5" width="15.42578125" style="26" bestFit="1" customWidth="1"/>
    <col min="6" max="6" width="7.42578125" style="26" customWidth="1"/>
    <col min="7" max="7" width="14.5703125" style="26" customWidth="1"/>
    <col min="8" max="8" width="7.42578125" style="26" customWidth="1"/>
    <col min="9" max="9" width="14.5703125" style="26" customWidth="1"/>
    <col min="10" max="10" width="7.42578125" style="26" customWidth="1"/>
    <col min="11" max="11" width="14.5703125" style="26" customWidth="1"/>
    <col min="12" max="12" width="7.42578125" style="26" customWidth="1"/>
    <col min="13" max="13" width="14.5703125" style="26" customWidth="1"/>
    <col min="14" max="14" width="8.42578125" style="26" customWidth="1"/>
    <col min="15" max="15" width="17.28515625" style="56" customWidth="1"/>
    <col min="16" max="16" width="9.5703125" style="56" customWidth="1"/>
    <col min="17" max="17" width="17.28515625" style="56" customWidth="1"/>
    <col min="18" max="18" width="9.5703125" style="56" customWidth="1"/>
    <col min="19" max="19" width="17.28515625" style="56" customWidth="1"/>
    <col min="20" max="20" width="9.5703125" style="56" customWidth="1"/>
    <col min="21" max="21" width="17.28515625" style="56" customWidth="1"/>
    <col min="22" max="22" width="9.5703125" style="56" customWidth="1"/>
    <col min="23" max="23" width="17.28515625" style="56" customWidth="1"/>
    <col min="24" max="24" width="9.5703125" style="56" customWidth="1"/>
    <col min="25" max="25" width="17.28515625" style="56" customWidth="1"/>
    <col min="26" max="26" width="9.5703125" style="56" customWidth="1"/>
    <col min="27" max="27" width="17.28515625" style="56" customWidth="1"/>
    <col min="28" max="28" width="9.5703125" style="56" customWidth="1"/>
    <col min="29" max="29" width="17.28515625" style="56" customWidth="1"/>
    <col min="30" max="30" width="9.5703125" style="56" customWidth="1"/>
    <col min="31" max="31" width="17.28515625" style="56" customWidth="1"/>
    <col min="32" max="32" width="9.5703125" style="56" customWidth="1"/>
    <col min="33" max="33" width="17.28515625" style="56" customWidth="1"/>
    <col min="34" max="34" width="9.5703125" style="56" customWidth="1"/>
    <col min="35" max="35" width="17.28515625" style="56" customWidth="1"/>
    <col min="36" max="36" width="9.5703125" style="56" customWidth="1"/>
    <col min="37" max="37" width="17.28515625" style="56" customWidth="1"/>
    <col min="38" max="38" width="9.5703125" style="56" customWidth="1"/>
    <col min="39" max="39" width="17.28515625" style="56" customWidth="1"/>
    <col min="40" max="40" width="9.5703125" style="56" customWidth="1"/>
    <col min="41" max="41" width="17.28515625" style="56" customWidth="1"/>
    <col min="42" max="42" width="9.5703125" style="56" customWidth="1"/>
    <col min="43" max="43" width="17.28515625" style="56" customWidth="1"/>
    <col min="44" max="44" width="9.5703125" style="56" customWidth="1"/>
    <col min="45" max="45" width="17.28515625" style="56" bestFit="1" customWidth="1"/>
    <col min="46" max="46" width="9.5703125" style="56" bestFit="1" customWidth="1"/>
    <col min="47" max="47" width="14.28515625" style="56" bestFit="1" customWidth="1"/>
    <col min="48" max="16384" width="9.140625" style="56"/>
  </cols>
  <sheetData>
    <row r="1" spans="1:47">
      <c r="C1" s="1016">
        <v>1</v>
      </c>
      <c r="D1" s="1017"/>
      <c r="E1" s="1016">
        <v>2</v>
      </c>
      <c r="F1" s="1017"/>
      <c r="G1" s="1016">
        <v>3</v>
      </c>
      <c r="H1" s="1017"/>
      <c r="I1" s="1016">
        <v>5</v>
      </c>
      <c r="J1" s="1017"/>
      <c r="K1" s="1016">
        <v>6</v>
      </c>
      <c r="L1" s="1017"/>
      <c r="M1" s="1016">
        <v>9</v>
      </c>
      <c r="N1" s="1017"/>
      <c r="O1" s="1014">
        <v>10</v>
      </c>
      <c r="P1" s="1015"/>
      <c r="Q1" s="1014">
        <v>11</v>
      </c>
      <c r="R1" s="1015"/>
      <c r="S1" s="1014">
        <v>12</v>
      </c>
      <c r="T1" s="1015"/>
      <c r="U1" s="1014">
        <v>13</v>
      </c>
      <c r="V1" s="1015"/>
      <c r="W1" s="1014">
        <v>16</v>
      </c>
      <c r="X1" s="1015"/>
      <c r="Y1" s="1014">
        <v>17</v>
      </c>
      <c r="Z1" s="1015"/>
      <c r="AA1" s="1014">
        <v>18</v>
      </c>
      <c r="AB1" s="1015"/>
      <c r="AC1" s="1014">
        <v>19</v>
      </c>
      <c r="AD1" s="1015"/>
      <c r="AE1" s="1014">
        <v>20</v>
      </c>
      <c r="AF1" s="1015"/>
      <c r="AG1" s="1014">
        <v>23</v>
      </c>
      <c r="AH1" s="1015"/>
      <c r="AI1" s="1014">
        <v>24</v>
      </c>
      <c r="AJ1" s="1015"/>
      <c r="AK1" s="1014">
        <v>25</v>
      </c>
      <c r="AL1" s="1015"/>
      <c r="AM1" s="1014">
        <v>26</v>
      </c>
      <c r="AN1" s="1015"/>
      <c r="AO1" s="1014">
        <v>27</v>
      </c>
      <c r="AP1" s="1015"/>
      <c r="AQ1" s="1014">
        <v>30</v>
      </c>
      <c r="AR1" s="1015"/>
      <c r="AS1" s="1014">
        <v>31</v>
      </c>
      <c r="AT1" s="1015"/>
    </row>
    <row r="2" spans="1:47">
      <c r="A2" s="57" t="s">
        <v>16</v>
      </c>
      <c r="B2" s="58" t="s">
        <v>15</v>
      </c>
      <c r="C2" s="32">
        <v>8307919.5499999998</v>
      </c>
      <c r="D2" s="157">
        <v>8.2100000000000009</v>
      </c>
      <c r="E2" s="32">
        <v>8314785</v>
      </c>
      <c r="F2" s="157">
        <v>8.19</v>
      </c>
      <c r="G2" s="32">
        <v>8321840</v>
      </c>
      <c r="H2" s="157">
        <v>8.23</v>
      </c>
      <c r="I2" s="32">
        <v>8328385</v>
      </c>
      <c r="J2" s="157">
        <v>8.2200000000000006</v>
      </c>
      <c r="K2" s="32">
        <v>8331700</v>
      </c>
      <c r="L2" s="157">
        <v>8.2200000000000006</v>
      </c>
      <c r="M2" s="32">
        <v>8341475</v>
      </c>
      <c r="N2" s="157">
        <v>8.24</v>
      </c>
      <c r="O2" s="59">
        <v>8346490</v>
      </c>
      <c r="P2" s="60">
        <v>8.23</v>
      </c>
      <c r="Q2" s="59">
        <v>8349720</v>
      </c>
      <c r="R2" s="60">
        <v>8.24</v>
      </c>
      <c r="S2" s="199">
        <v>8352950</v>
      </c>
      <c r="T2" s="200">
        <v>8.25</v>
      </c>
      <c r="U2" s="199">
        <v>8356095</v>
      </c>
      <c r="V2" s="200">
        <v>8.24</v>
      </c>
      <c r="W2" s="199">
        <v>8365700</v>
      </c>
      <c r="X2" s="200">
        <v>8.24</v>
      </c>
      <c r="Y2" s="199">
        <v>8377600</v>
      </c>
      <c r="Z2" s="200">
        <v>8.24</v>
      </c>
      <c r="AA2" s="199">
        <v>8380660</v>
      </c>
      <c r="AB2" s="200">
        <v>8.24</v>
      </c>
      <c r="AC2" s="199">
        <v>8383635</v>
      </c>
      <c r="AD2" s="200">
        <v>8.26</v>
      </c>
      <c r="AE2" s="199">
        <v>8386610</v>
      </c>
      <c r="AF2" s="200">
        <v>8.26</v>
      </c>
      <c r="AG2" s="199">
        <v>8395620</v>
      </c>
      <c r="AH2" s="200">
        <v>8.24</v>
      </c>
      <c r="AI2" s="199">
        <v>8391200</v>
      </c>
      <c r="AJ2" s="200">
        <v>8.24</v>
      </c>
      <c r="AK2" s="199">
        <v>8394345</v>
      </c>
      <c r="AL2" s="200">
        <v>8.25</v>
      </c>
      <c r="AM2" s="199">
        <v>8397490</v>
      </c>
      <c r="AN2" s="200">
        <v>8.25</v>
      </c>
      <c r="AO2" s="199">
        <v>8400635</v>
      </c>
      <c r="AP2" s="200">
        <v>8.24</v>
      </c>
      <c r="AQ2" s="199">
        <v>8409985</v>
      </c>
      <c r="AR2" s="200">
        <v>8.27</v>
      </c>
      <c r="AS2" s="233">
        <v>8417210</v>
      </c>
      <c r="AT2" s="230">
        <v>8.27</v>
      </c>
    </row>
    <row r="3" spans="1:47">
      <c r="A3" s="57" t="s">
        <v>17</v>
      </c>
      <c r="B3" s="58" t="s">
        <v>15</v>
      </c>
      <c r="C3" s="32">
        <v>12746950.039999999</v>
      </c>
      <c r="D3" s="157">
        <v>12.6</v>
      </c>
      <c r="E3" s="32">
        <v>12759132</v>
      </c>
      <c r="F3" s="157">
        <v>12.57</v>
      </c>
      <c r="G3" s="32">
        <v>12772778.800000001</v>
      </c>
      <c r="H3" s="157">
        <v>12.63</v>
      </c>
      <c r="I3" s="32">
        <v>12784297.199999999</v>
      </c>
      <c r="J3" s="157">
        <v>12.61</v>
      </c>
      <c r="K3" s="32">
        <v>12790181.6</v>
      </c>
      <c r="L3" s="157">
        <v>12.61</v>
      </c>
      <c r="M3" s="32">
        <v>12807459.199999999</v>
      </c>
      <c r="N3" s="157">
        <v>12.64</v>
      </c>
      <c r="O3" s="59">
        <v>12819102.800000001</v>
      </c>
      <c r="P3" s="60">
        <v>12.65</v>
      </c>
      <c r="Q3" s="59">
        <v>12824862</v>
      </c>
      <c r="R3" s="60">
        <v>12.66</v>
      </c>
      <c r="S3" s="201">
        <v>12830621.199999999</v>
      </c>
      <c r="T3" s="200">
        <v>12.67</v>
      </c>
      <c r="U3" s="201">
        <v>12836380.4</v>
      </c>
      <c r="V3" s="200">
        <v>12.66</v>
      </c>
      <c r="W3" s="201">
        <v>12853532.800000001</v>
      </c>
      <c r="X3" s="200">
        <v>12.66</v>
      </c>
      <c r="Y3" s="201">
        <v>12884582.4</v>
      </c>
      <c r="Z3" s="200">
        <v>12.68</v>
      </c>
      <c r="AA3" s="201">
        <v>12890216.4</v>
      </c>
      <c r="AB3" s="200">
        <v>12.68</v>
      </c>
      <c r="AC3" s="201">
        <v>12895850.4</v>
      </c>
      <c r="AD3" s="200">
        <v>12.71</v>
      </c>
      <c r="AE3" s="201">
        <v>12901484.4</v>
      </c>
      <c r="AF3" s="200">
        <v>12.71</v>
      </c>
      <c r="AG3" s="201">
        <v>12918386.4</v>
      </c>
      <c r="AH3" s="200">
        <v>12.68</v>
      </c>
      <c r="AI3" s="201">
        <v>12896852</v>
      </c>
      <c r="AJ3" s="200">
        <v>12.67</v>
      </c>
      <c r="AK3" s="201">
        <v>12902486</v>
      </c>
      <c r="AL3" s="200">
        <v>12.67</v>
      </c>
      <c r="AM3" s="201">
        <v>12908245.199999999</v>
      </c>
      <c r="AN3" s="200">
        <v>12.67</v>
      </c>
      <c r="AO3" s="201">
        <v>12913879.199999999</v>
      </c>
      <c r="AP3" s="200">
        <v>12.68</v>
      </c>
      <c r="AQ3" s="201">
        <v>12930906.4</v>
      </c>
      <c r="AR3" s="200">
        <v>12.72</v>
      </c>
      <c r="AS3" s="234">
        <v>12954819.6</v>
      </c>
      <c r="AT3" s="230">
        <v>12.72</v>
      </c>
    </row>
    <row r="4" spans="1:47">
      <c r="A4" s="57" t="s">
        <v>18</v>
      </c>
      <c r="B4" s="58" t="s">
        <v>15</v>
      </c>
      <c r="C4" s="32">
        <v>7857150.9500000002</v>
      </c>
      <c r="D4" s="157">
        <v>7.76</v>
      </c>
      <c r="E4" s="32">
        <v>7865135</v>
      </c>
      <c r="F4" s="157">
        <v>7.75</v>
      </c>
      <c r="G4" s="32">
        <v>7872785</v>
      </c>
      <c r="H4" s="157">
        <v>7.79</v>
      </c>
      <c r="I4" s="32">
        <v>7880350</v>
      </c>
      <c r="J4" s="157">
        <v>7.78</v>
      </c>
      <c r="K4" s="32">
        <v>7884090</v>
      </c>
      <c r="L4" s="157">
        <v>7.78</v>
      </c>
      <c r="M4" s="32">
        <v>7895480</v>
      </c>
      <c r="N4" s="157">
        <v>7.8</v>
      </c>
      <c r="O4" s="59">
        <v>7903640</v>
      </c>
      <c r="P4" s="60">
        <v>7.8</v>
      </c>
      <c r="Q4" s="59">
        <v>7907380</v>
      </c>
      <c r="R4" s="60">
        <v>7.8</v>
      </c>
      <c r="S4" s="202">
        <v>7911120</v>
      </c>
      <c r="T4" s="200">
        <v>7.8100000000000005</v>
      </c>
      <c r="U4" s="202">
        <v>7914860</v>
      </c>
      <c r="V4" s="200">
        <v>7.8</v>
      </c>
      <c r="W4" s="202">
        <v>7926080</v>
      </c>
      <c r="X4" s="200">
        <v>7.81</v>
      </c>
      <c r="Y4" s="202">
        <v>7945715</v>
      </c>
      <c r="Z4" s="200">
        <v>7.82</v>
      </c>
      <c r="AA4" s="202">
        <v>7949455</v>
      </c>
      <c r="AB4" s="200">
        <v>7.82</v>
      </c>
      <c r="AC4" s="202">
        <v>7953195</v>
      </c>
      <c r="AD4" s="200">
        <v>7.84</v>
      </c>
      <c r="AE4" s="202">
        <v>7957020</v>
      </c>
      <c r="AF4" s="200">
        <v>7.84</v>
      </c>
      <c r="AG4" s="202">
        <v>7968155</v>
      </c>
      <c r="AH4" s="200">
        <v>7.82</v>
      </c>
      <c r="AI4" s="202">
        <v>7952685</v>
      </c>
      <c r="AJ4" s="200">
        <v>7.81</v>
      </c>
      <c r="AK4" s="202">
        <v>7956425</v>
      </c>
      <c r="AL4" s="200">
        <v>7.82</v>
      </c>
      <c r="AM4" s="202">
        <v>7960165</v>
      </c>
      <c r="AN4" s="200">
        <v>7.82</v>
      </c>
      <c r="AO4" s="202">
        <v>7963905</v>
      </c>
      <c r="AP4" s="200">
        <v>7.82</v>
      </c>
      <c r="AQ4" s="202">
        <v>7975125</v>
      </c>
      <c r="AR4" s="200">
        <v>7.84</v>
      </c>
      <c r="AS4" s="231">
        <v>7991785</v>
      </c>
      <c r="AT4" s="230">
        <v>7.85</v>
      </c>
    </row>
    <row r="5" spans="1:47">
      <c r="A5" s="57" t="s">
        <v>19</v>
      </c>
      <c r="B5" s="58" t="s">
        <v>15</v>
      </c>
      <c r="C5" s="33">
        <v>3587417.28</v>
      </c>
      <c r="D5" s="157">
        <v>3.55</v>
      </c>
      <c r="E5" s="33">
        <v>3591216</v>
      </c>
      <c r="F5" s="157">
        <v>3.54</v>
      </c>
      <c r="G5" s="33">
        <v>3593844</v>
      </c>
      <c r="H5" s="157">
        <v>3.55</v>
      </c>
      <c r="I5" s="33">
        <v>3597444</v>
      </c>
      <c r="J5" s="157">
        <v>3.55</v>
      </c>
      <c r="K5" s="33">
        <v>3599244</v>
      </c>
      <c r="L5" s="157">
        <v>3.55</v>
      </c>
      <c r="M5" s="33">
        <v>3604644</v>
      </c>
      <c r="N5" s="157">
        <v>3.56</v>
      </c>
      <c r="O5" s="61">
        <v>3608784</v>
      </c>
      <c r="P5" s="60">
        <v>3.56</v>
      </c>
      <c r="Q5" s="61">
        <v>3610584</v>
      </c>
      <c r="R5" s="60">
        <v>3.56</v>
      </c>
      <c r="S5" s="203">
        <v>3612384</v>
      </c>
      <c r="T5" s="200">
        <v>3.57</v>
      </c>
      <c r="U5" s="203">
        <v>3614184</v>
      </c>
      <c r="V5" s="200">
        <v>3.56</v>
      </c>
      <c r="W5" s="203">
        <v>3619512</v>
      </c>
      <c r="X5" s="200">
        <v>3.56</v>
      </c>
      <c r="Y5" s="203">
        <v>3627612</v>
      </c>
      <c r="Z5" s="200">
        <v>3.57</v>
      </c>
      <c r="AA5" s="203">
        <v>3629412</v>
      </c>
      <c r="AB5" s="200">
        <v>3.57</v>
      </c>
      <c r="AC5" s="203">
        <v>3631212</v>
      </c>
      <c r="AD5" s="200">
        <v>3.58</v>
      </c>
      <c r="AE5" s="212">
        <v>3633012</v>
      </c>
      <c r="AF5" s="200">
        <v>3.58</v>
      </c>
      <c r="AG5" s="212">
        <v>3638448</v>
      </c>
      <c r="AH5" s="200">
        <v>3.57</v>
      </c>
      <c r="AI5" s="212">
        <v>3631068</v>
      </c>
      <c r="AJ5" s="200">
        <v>3.57</v>
      </c>
      <c r="AK5" s="212">
        <v>3632868</v>
      </c>
      <c r="AL5" s="200">
        <v>3.57</v>
      </c>
      <c r="AM5" s="212">
        <v>3634668</v>
      </c>
      <c r="AN5" s="200">
        <v>3.57</v>
      </c>
      <c r="AO5" s="212">
        <v>3636468</v>
      </c>
      <c r="AP5" s="200">
        <v>3.57</v>
      </c>
      <c r="AQ5" s="212">
        <v>3641868</v>
      </c>
      <c r="AR5" s="200">
        <v>3.58</v>
      </c>
      <c r="AS5" s="232">
        <v>3649500</v>
      </c>
      <c r="AT5" s="230">
        <v>3.58</v>
      </c>
    </row>
    <row r="6" spans="1:47">
      <c r="A6" s="57" t="s">
        <v>20</v>
      </c>
      <c r="B6" s="58" t="s">
        <v>15</v>
      </c>
      <c r="C6" s="32">
        <v>2036917.89</v>
      </c>
      <c r="D6" s="157">
        <v>2.0099999999999998</v>
      </c>
      <c r="E6" s="32">
        <v>2039226</v>
      </c>
      <c r="F6" s="157">
        <v>2.0099999999999998</v>
      </c>
      <c r="G6" s="32">
        <v>2039646</v>
      </c>
      <c r="H6" s="157">
        <v>2.02</v>
      </c>
      <c r="I6" s="32">
        <v>2041830</v>
      </c>
      <c r="J6" s="157">
        <v>2.0099999999999998</v>
      </c>
      <c r="K6" s="32">
        <v>2042922</v>
      </c>
      <c r="L6" s="157">
        <v>2.0099999999999998</v>
      </c>
      <c r="M6" s="32">
        <v>2046198</v>
      </c>
      <c r="N6" s="157">
        <v>2.02</v>
      </c>
      <c r="O6" s="59">
        <v>2049033</v>
      </c>
      <c r="P6" s="60">
        <v>2.02</v>
      </c>
      <c r="Q6" s="59">
        <v>2050104</v>
      </c>
      <c r="R6" s="60">
        <v>2.02</v>
      </c>
      <c r="S6" s="202">
        <v>2051196</v>
      </c>
      <c r="T6" s="200">
        <v>2.0299999999999998</v>
      </c>
      <c r="U6" s="202">
        <v>2052288</v>
      </c>
      <c r="V6" s="200">
        <v>2.02</v>
      </c>
      <c r="W6" s="202">
        <v>2035974.78</v>
      </c>
      <c r="X6" s="200">
        <v>1.9999999999999998</v>
      </c>
      <c r="Y6" s="208">
        <v>2039546.46</v>
      </c>
      <c r="Z6" s="205">
        <v>2.0099999999999998</v>
      </c>
      <c r="AA6" s="208">
        <v>2034697.35</v>
      </c>
      <c r="AB6" s="205">
        <v>2</v>
      </c>
      <c r="AC6" s="213">
        <v>2061171</v>
      </c>
      <c r="AD6" s="200">
        <v>2.0299999999999998</v>
      </c>
      <c r="AE6" s="213">
        <v>2062284</v>
      </c>
      <c r="AF6" s="200">
        <v>2.0299999999999998</v>
      </c>
      <c r="AG6" s="213">
        <v>2065602</v>
      </c>
      <c r="AH6" s="200">
        <v>2.0299999999999998</v>
      </c>
      <c r="AI6" s="213">
        <v>2061171</v>
      </c>
      <c r="AJ6" s="200">
        <v>2.02</v>
      </c>
      <c r="AK6" s="213">
        <v>2062284</v>
      </c>
      <c r="AL6" s="200">
        <v>2.0299999999999998</v>
      </c>
      <c r="AM6" s="213">
        <v>2063376</v>
      </c>
      <c r="AN6" s="200">
        <v>2.0299999999999998</v>
      </c>
      <c r="AO6" s="213">
        <v>2064489</v>
      </c>
      <c r="AP6" s="200">
        <v>2.0299999999999998</v>
      </c>
      <c r="AQ6" s="213">
        <v>2067786</v>
      </c>
      <c r="AR6" s="200">
        <v>2.0399999999999996</v>
      </c>
      <c r="AS6" s="231">
        <v>2071818</v>
      </c>
      <c r="AT6" s="230">
        <v>2.0299999999999998</v>
      </c>
    </row>
    <row r="7" spans="1:47">
      <c r="A7" s="57" t="s">
        <v>21</v>
      </c>
      <c r="B7" s="58" t="s">
        <v>15</v>
      </c>
      <c r="C7" s="32">
        <v>8429453.8900000006</v>
      </c>
      <c r="D7" s="157">
        <v>8.33</v>
      </c>
      <c r="E7" s="32">
        <v>8439109.9100000001</v>
      </c>
      <c r="F7" s="157">
        <v>8.31</v>
      </c>
      <c r="G7" s="32">
        <v>8439109.9100000001</v>
      </c>
      <c r="H7" s="157">
        <v>8.35</v>
      </c>
      <c r="I7" s="32">
        <v>8448362.6500000004</v>
      </c>
      <c r="J7" s="157">
        <v>8.34</v>
      </c>
      <c r="K7" s="32">
        <v>8452901.7300000004</v>
      </c>
      <c r="L7" s="157">
        <v>8.34</v>
      </c>
      <c r="M7" s="32">
        <v>8466693.5500000007</v>
      </c>
      <c r="N7" s="157">
        <v>8.36</v>
      </c>
      <c r="O7" s="59">
        <v>8479088.7300000004</v>
      </c>
      <c r="P7" s="60">
        <v>8.3699999999999992</v>
      </c>
      <c r="Q7" s="59">
        <v>8483627.8100000005</v>
      </c>
      <c r="R7" s="60">
        <v>8.3699999999999992</v>
      </c>
      <c r="S7" s="202">
        <v>8488166.8900000006</v>
      </c>
      <c r="T7" s="200">
        <v>8.39</v>
      </c>
      <c r="U7" s="202">
        <v>8492793.2599999998</v>
      </c>
      <c r="V7" s="200">
        <v>8.3699999999999992</v>
      </c>
      <c r="W7" s="202">
        <v>8506497.7899999991</v>
      </c>
      <c r="X7" s="200">
        <v>8.3800000000000008</v>
      </c>
      <c r="Y7" s="202">
        <v>8518631.0999999996</v>
      </c>
      <c r="Z7" s="200">
        <v>8.3800000000000008</v>
      </c>
      <c r="AA7" s="202">
        <v>8523344.7599999998</v>
      </c>
      <c r="AB7" s="200">
        <v>8.39</v>
      </c>
      <c r="AC7" s="202">
        <v>8527971.1300000008</v>
      </c>
      <c r="AD7" s="200">
        <v>8.41</v>
      </c>
      <c r="AE7" s="202">
        <v>8532684.7899999991</v>
      </c>
      <c r="AF7" s="200">
        <v>8.41</v>
      </c>
      <c r="AG7" s="202">
        <v>8546651.1899999995</v>
      </c>
      <c r="AH7" s="200">
        <v>8.39</v>
      </c>
      <c r="AI7" s="202">
        <v>8528145.7100000009</v>
      </c>
      <c r="AJ7" s="200">
        <v>8.3800000000000008</v>
      </c>
      <c r="AK7" s="202">
        <v>8532859.3699999992</v>
      </c>
      <c r="AL7" s="200">
        <v>8.3800000000000008</v>
      </c>
      <c r="AM7" s="202">
        <v>8537485.7400000002</v>
      </c>
      <c r="AN7" s="200">
        <v>8.3800000000000008</v>
      </c>
      <c r="AO7" s="202">
        <v>8542112.1099999994</v>
      </c>
      <c r="AP7" s="200">
        <v>8.39</v>
      </c>
      <c r="AQ7" s="202">
        <v>8556078.5099999998</v>
      </c>
      <c r="AR7" s="200">
        <v>8.42</v>
      </c>
      <c r="AS7" s="231">
        <v>8571878</v>
      </c>
      <c r="AT7" s="230">
        <v>8.42</v>
      </c>
    </row>
    <row r="8" spans="1:47">
      <c r="A8" s="57" t="s">
        <v>66</v>
      </c>
      <c r="B8" s="58" t="s">
        <v>15</v>
      </c>
      <c r="C8" s="32">
        <v>5672561.8200000003</v>
      </c>
      <c r="D8" s="157">
        <v>5.6</v>
      </c>
      <c r="E8" s="32">
        <v>5679476</v>
      </c>
      <c r="F8" s="157">
        <v>5.59</v>
      </c>
      <c r="G8" s="45">
        <v>5504174.4800000004</v>
      </c>
      <c r="H8" s="158">
        <v>5.44</v>
      </c>
      <c r="I8" s="32">
        <v>5654710</v>
      </c>
      <c r="J8" s="157">
        <v>5.58</v>
      </c>
      <c r="K8" s="32">
        <v>5658074</v>
      </c>
      <c r="L8" s="157">
        <v>5.58</v>
      </c>
      <c r="M8" s="32">
        <v>5668282</v>
      </c>
      <c r="N8" s="157">
        <v>5.6</v>
      </c>
      <c r="O8" s="59">
        <v>5696354</v>
      </c>
      <c r="P8" s="60">
        <v>5.62</v>
      </c>
      <c r="Q8" s="59">
        <v>5699660</v>
      </c>
      <c r="R8" s="60">
        <v>5.62</v>
      </c>
      <c r="S8" s="204">
        <v>5532922.1799999997</v>
      </c>
      <c r="T8" s="205">
        <v>5.47</v>
      </c>
      <c r="U8" s="203">
        <v>5706330</v>
      </c>
      <c r="V8" s="200">
        <v>5.63</v>
      </c>
      <c r="W8" s="203">
        <v>5716306</v>
      </c>
      <c r="X8" s="200">
        <v>5.63</v>
      </c>
      <c r="Y8" s="203">
        <v>5701284</v>
      </c>
      <c r="Z8" s="200">
        <v>5.61</v>
      </c>
      <c r="AA8" s="203">
        <v>5704590</v>
      </c>
      <c r="AB8" s="200">
        <v>5.61</v>
      </c>
      <c r="AC8" s="203">
        <v>5432327.5599999996</v>
      </c>
      <c r="AD8" s="200">
        <v>5.3599999999999994</v>
      </c>
      <c r="AE8" s="203">
        <v>5443203.7199999997</v>
      </c>
      <c r="AF8" s="200">
        <v>5.36</v>
      </c>
      <c r="AG8" s="203">
        <v>5721352</v>
      </c>
      <c r="AH8" s="200">
        <v>5.61</v>
      </c>
      <c r="AI8" s="203">
        <v>5686320</v>
      </c>
      <c r="AJ8" s="200">
        <v>5.59</v>
      </c>
      <c r="AK8" s="203">
        <v>5689800</v>
      </c>
      <c r="AL8" s="200">
        <v>5.59</v>
      </c>
      <c r="AM8" s="203">
        <v>5693222</v>
      </c>
      <c r="AN8" s="200">
        <v>5.59</v>
      </c>
      <c r="AO8" s="203">
        <v>5696702</v>
      </c>
      <c r="AP8" s="200">
        <v>5.59</v>
      </c>
      <c r="AQ8" s="204">
        <v>5402613.5800000001</v>
      </c>
      <c r="AR8" s="205">
        <v>5.31</v>
      </c>
      <c r="AS8" s="229">
        <v>5406064</v>
      </c>
      <c r="AT8" s="227">
        <v>5.31</v>
      </c>
    </row>
    <row r="9" spans="1:47" ht="16.5" thickBot="1">
      <c r="A9" s="1020" t="s">
        <v>22</v>
      </c>
      <c r="B9" s="1021"/>
      <c r="C9" s="34">
        <f t="shared" ref="C9:AL9" si="0">SUM(C2:C8)</f>
        <v>48638371.420000002</v>
      </c>
      <c r="D9" s="159">
        <f t="shared" si="0"/>
        <v>48.059999999999995</v>
      </c>
      <c r="E9" s="34">
        <f t="shared" si="0"/>
        <v>48688079.909999996</v>
      </c>
      <c r="F9" s="159">
        <f t="shared" si="0"/>
        <v>47.959999999999994</v>
      </c>
      <c r="G9" s="34">
        <f t="shared" si="0"/>
        <v>48544178.189999998</v>
      </c>
      <c r="H9" s="159">
        <f t="shared" si="0"/>
        <v>48.01</v>
      </c>
      <c r="I9" s="34">
        <f t="shared" si="0"/>
        <v>48735378.850000001</v>
      </c>
      <c r="J9" s="159">
        <f t="shared" si="0"/>
        <v>48.089999999999989</v>
      </c>
      <c r="K9" s="34">
        <f t="shared" si="0"/>
        <v>48759113.329999998</v>
      </c>
      <c r="L9" s="159">
        <f t="shared" si="0"/>
        <v>48.089999999999989</v>
      </c>
      <c r="M9" s="34">
        <f t="shared" si="0"/>
        <v>48830231.75</v>
      </c>
      <c r="N9" s="159">
        <f t="shared" si="0"/>
        <v>48.220000000000006</v>
      </c>
      <c r="O9" s="62">
        <f t="shared" si="0"/>
        <v>48902492.530000001</v>
      </c>
      <c r="P9" s="63">
        <f t="shared" si="0"/>
        <v>48.25</v>
      </c>
      <c r="Q9" s="62">
        <f t="shared" si="0"/>
        <v>48925937.810000002</v>
      </c>
      <c r="R9" s="63">
        <f t="shared" si="0"/>
        <v>48.269999999999996</v>
      </c>
      <c r="S9" s="62">
        <f t="shared" si="0"/>
        <v>48779360.270000003</v>
      </c>
      <c r="T9" s="63">
        <f t="shared" si="0"/>
        <v>48.190000000000005</v>
      </c>
      <c r="U9" s="62">
        <f t="shared" si="0"/>
        <v>48972930.659999996</v>
      </c>
      <c r="V9" s="63">
        <f t="shared" si="0"/>
        <v>48.28</v>
      </c>
      <c r="W9" s="62">
        <f t="shared" si="0"/>
        <v>49023603.369999997</v>
      </c>
      <c r="X9" s="63">
        <f t="shared" si="0"/>
        <v>48.28</v>
      </c>
      <c r="Y9" s="62">
        <f t="shared" si="0"/>
        <v>49094970.960000001</v>
      </c>
      <c r="Z9" s="63">
        <f t="shared" si="0"/>
        <v>48.31</v>
      </c>
      <c r="AA9" s="62">
        <f t="shared" si="0"/>
        <v>49112375.509999998</v>
      </c>
      <c r="AB9" s="63">
        <f t="shared" si="0"/>
        <v>48.31</v>
      </c>
      <c r="AC9" s="62">
        <f t="shared" si="0"/>
        <v>48885362.090000004</v>
      </c>
      <c r="AD9" s="63">
        <f t="shared" si="0"/>
        <v>48.19</v>
      </c>
      <c r="AE9" s="62">
        <f t="shared" si="0"/>
        <v>48916298.909999996</v>
      </c>
      <c r="AF9" s="63">
        <f t="shared" si="0"/>
        <v>48.19</v>
      </c>
      <c r="AG9" s="62">
        <f t="shared" si="0"/>
        <v>49254214.589999996</v>
      </c>
      <c r="AH9" s="63">
        <f t="shared" si="0"/>
        <v>48.34</v>
      </c>
      <c r="AI9" s="62">
        <f t="shared" si="0"/>
        <v>49147441.710000001</v>
      </c>
      <c r="AJ9" s="63">
        <f t="shared" si="0"/>
        <v>48.28</v>
      </c>
      <c r="AK9" s="62">
        <f t="shared" si="0"/>
        <v>49171067.369999997</v>
      </c>
      <c r="AL9" s="63">
        <f t="shared" si="0"/>
        <v>48.31</v>
      </c>
      <c r="AM9" s="62">
        <f t="shared" ref="AM9:AR9" si="1">SUM(AM2:AM8)</f>
        <v>49194651.940000005</v>
      </c>
      <c r="AN9" s="63">
        <f t="shared" si="1"/>
        <v>48.31</v>
      </c>
      <c r="AO9" s="62">
        <f t="shared" si="1"/>
        <v>49218190.310000002</v>
      </c>
      <c r="AP9" s="63">
        <f t="shared" si="1"/>
        <v>48.320000000000007</v>
      </c>
      <c r="AQ9" s="62">
        <f t="shared" si="1"/>
        <v>48984362.489999995</v>
      </c>
      <c r="AR9" s="63">
        <f t="shared" si="1"/>
        <v>48.180000000000007</v>
      </c>
      <c r="AS9" s="62">
        <f>SUM(AS2:AS8)</f>
        <v>49063074.600000001</v>
      </c>
      <c r="AT9" s="63">
        <f>SUM(AT2:AT8)</f>
        <v>48.180000000000007</v>
      </c>
      <c r="AU9" s="245">
        <v>49063074.600000001</v>
      </c>
    </row>
    <row r="10" spans="1:47" ht="47.25">
      <c r="A10" s="64" t="s">
        <v>23</v>
      </c>
      <c r="B10" s="65" t="s">
        <v>24</v>
      </c>
      <c r="C10" s="35">
        <v>4104000</v>
      </c>
      <c r="D10" s="160">
        <v>4.05</v>
      </c>
      <c r="E10" s="35">
        <v>4104000</v>
      </c>
      <c r="F10" s="160">
        <v>4.04</v>
      </c>
      <c r="G10" s="35">
        <v>4104000</v>
      </c>
      <c r="H10" s="160">
        <v>4.0599999999999996</v>
      </c>
      <c r="I10" s="35">
        <v>4104000</v>
      </c>
      <c r="J10" s="160">
        <v>4.05</v>
      </c>
      <c r="K10" s="161">
        <v>4104000</v>
      </c>
      <c r="L10" s="162">
        <v>4.05</v>
      </c>
      <c r="M10" s="161">
        <v>4104000</v>
      </c>
      <c r="N10" s="162">
        <v>4.05</v>
      </c>
      <c r="O10" s="66">
        <v>4104000</v>
      </c>
      <c r="P10" s="67">
        <v>4.05</v>
      </c>
      <c r="Q10" s="66">
        <v>4104000</v>
      </c>
      <c r="R10" s="67">
        <v>4.05</v>
      </c>
      <c r="S10" s="66">
        <v>4104000</v>
      </c>
      <c r="T10" s="67">
        <v>4.0599999999999996</v>
      </c>
      <c r="U10" s="66">
        <v>4104000</v>
      </c>
      <c r="V10" s="67">
        <v>4.04</v>
      </c>
      <c r="W10" s="66">
        <v>4104000</v>
      </c>
      <c r="X10" s="67">
        <v>4.04</v>
      </c>
      <c r="Y10" s="66">
        <v>4104000</v>
      </c>
      <c r="Z10" s="67">
        <v>4.04</v>
      </c>
      <c r="AA10" s="66">
        <v>4104000</v>
      </c>
      <c r="AB10" s="67">
        <v>4.04</v>
      </c>
      <c r="AC10" s="66">
        <v>4104000</v>
      </c>
      <c r="AD10" s="67">
        <v>4.05</v>
      </c>
      <c r="AE10" s="66">
        <v>4104000</v>
      </c>
      <c r="AF10" s="67">
        <v>4.04</v>
      </c>
      <c r="AG10" s="66">
        <v>4104000</v>
      </c>
      <c r="AH10" s="67">
        <v>4.03</v>
      </c>
      <c r="AI10" s="66">
        <v>4104000</v>
      </c>
      <c r="AJ10" s="67">
        <v>4.03</v>
      </c>
      <c r="AK10" s="66">
        <v>4104000</v>
      </c>
      <c r="AL10" s="67">
        <v>4.03</v>
      </c>
      <c r="AM10" s="66">
        <v>4104000</v>
      </c>
      <c r="AN10" s="67">
        <v>4.03</v>
      </c>
      <c r="AO10" s="224">
        <v>4104000</v>
      </c>
      <c r="AP10" s="200">
        <v>4.03</v>
      </c>
      <c r="AQ10" s="224">
        <v>4104000</v>
      </c>
      <c r="AR10" s="200">
        <v>4.04</v>
      </c>
      <c r="AS10" s="241">
        <v>4104000</v>
      </c>
      <c r="AT10" s="240">
        <v>4.03</v>
      </c>
    </row>
    <row r="11" spans="1:47" ht="47.25">
      <c r="A11" s="68" t="s">
        <v>25</v>
      </c>
      <c r="B11" s="69" t="s">
        <v>26</v>
      </c>
      <c r="C11" s="35">
        <v>3818700.5</v>
      </c>
      <c r="D11" s="160">
        <v>3.77</v>
      </c>
      <c r="E11" s="35">
        <v>3823885.2</v>
      </c>
      <c r="F11" s="160">
        <v>3.77</v>
      </c>
      <c r="G11" s="35">
        <v>3826477.54</v>
      </c>
      <c r="H11" s="160">
        <v>3.78</v>
      </c>
      <c r="I11" s="35">
        <v>3831662.24</v>
      </c>
      <c r="J11" s="160">
        <v>3.78</v>
      </c>
      <c r="K11" s="161">
        <v>3834254.58</v>
      </c>
      <c r="L11" s="162">
        <v>3.78</v>
      </c>
      <c r="M11" s="161">
        <v>3842031.62</v>
      </c>
      <c r="N11" s="162">
        <v>3.79</v>
      </c>
      <c r="O11" s="66">
        <v>3844623.97</v>
      </c>
      <c r="P11" s="67">
        <v>3.79</v>
      </c>
      <c r="Q11" s="66">
        <v>3847216.32</v>
      </c>
      <c r="R11" s="67">
        <v>3.79</v>
      </c>
      <c r="S11" s="66">
        <v>3849808.66</v>
      </c>
      <c r="T11" s="67">
        <v>3.8</v>
      </c>
      <c r="U11" s="66">
        <v>3852401.01</v>
      </c>
      <c r="V11" s="67">
        <v>3.8</v>
      </c>
      <c r="W11" s="66">
        <v>3860178.05</v>
      </c>
      <c r="X11" s="67">
        <v>3.8</v>
      </c>
      <c r="Y11" s="66">
        <v>3862770.4</v>
      </c>
      <c r="Z11" s="67">
        <v>3.8</v>
      </c>
      <c r="AA11" s="66">
        <v>3865362.74</v>
      </c>
      <c r="AB11" s="67">
        <v>3.8</v>
      </c>
      <c r="AC11" s="66">
        <v>3867955.09</v>
      </c>
      <c r="AD11" s="67">
        <v>3.81</v>
      </c>
      <c r="AE11" s="66">
        <v>3870547.43</v>
      </c>
      <c r="AF11" s="67">
        <v>3.82</v>
      </c>
      <c r="AG11" s="66">
        <v>3878324.47</v>
      </c>
      <c r="AH11" s="67">
        <v>3.81</v>
      </c>
      <c r="AI11" s="66">
        <v>3880916.82</v>
      </c>
      <c r="AJ11" s="67">
        <v>3.81</v>
      </c>
      <c r="AK11" s="66">
        <v>3883509.17</v>
      </c>
      <c r="AL11" s="67">
        <v>3.81</v>
      </c>
      <c r="AM11" s="66">
        <v>3886101.51</v>
      </c>
      <c r="AN11" s="67">
        <v>3.81</v>
      </c>
      <c r="AO11" s="224">
        <v>3888693.86</v>
      </c>
      <c r="AP11" s="200">
        <v>3.82</v>
      </c>
      <c r="AQ11" s="224">
        <v>3896470.9</v>
      </c>
      <c r="AR11" s="200">
        <v>3.83</v>
      </c>
      <c r="AS11" s="241">
        <v>3899063.25</v>
      </c>
      <c r="AT11" s="240">
        <v>3.83</v>
      </c>
    </row>
    <row r="12" spans="1:47" ht="47.25">
      <c r="A12" s="70" t="s">
        <v>27</v>
      </c>
      <c r="B12" s="71" t="s">
        <v>26</v>
      </c>
      <c r="C12" s="35">
        <v>315000</v>
      </c>
      <c r="D12" s="160">
        <v>0.31</v>
      </c>
      <c r="E12" s="35">
        <v>315000</v>
      </c>
      <c r="F12" s="160">
        <v>0.31</v>
      </c>
      <c r="G12" s="35">
        <v>315000</v>
      </c>
      <c r="H12" s="160">
        <v>0.31</v>
      </c>
      <c r="I12" s="35">
        <v>315000</v>
      </c>
      <c r="J12" s="160">
        <v>0.31</v>
      </c>
      <c r="K12" s="161">
        <v>315000</v>
      </c>
      <c r="L12" s="162">
        <v>0.31</v>
      </c>
      <c r="M12" s="161">
        <v>315000</v>
      </c>
      <c r="N12" s="162">
        <v>0.31</v>
      </c>
      <c r="O12" s="66">
        <v>315000</v>
      </c>
      <c r="P12" s="67">
        <v>0.31</v>
      </c>
      <c r="Q12" s="66">
        <v>315000</v>
      </c>
      <c r="R12" s="67">
        <v>0.31</v>
      </c>
      <c r="S12" s="66">
        <v>315000</v>
      </c>
      <c r="T12" s="67">
        <v>0.31</v>
      </c>
      <c r="U12" s="66">
        <v>315000</v>
      </c>
      <c r="V12" s="67">
        <v>0.31</v>
      </c>
      <c r="W12" s="66">
        <v>315000</v>
      </c>
      <c r="X12" s="67">
        <v>0.31</v>
      </c>
      <c r="Y12" s="66">
        <v>315000</v>
      </c>
      <c r="Z12" s="67">
        <v>0.31</v>
      </c>
      <c r="AA12" s="66">
        <v>315000</v>
      </c>
      <c r="AB12" s="67">
        <v>0.31</v>
      </c>
      <c r="AC12" s="66">
        <v>315000</v>
      </c>
      <c r="AD12" s="67">
        <v>0.31</v>
      </c>
      <c r="AE12" s="66">
        <v>315000</v>
      </c>
      <c r="AF12" s="67">
        <v>0.31</v>
      </c>
      <c r="AG12" s="66">
        <v>315000</v>
      </c>
      <c r="AH12" s="67">
        <v>0.31</v>
      </c>
      <c r="AI12" s="66">
        <v>315000</v>
      </c>
      <c r="AJ12" s="67">
        <v>0.31</v>
      </c>
      <c r="AK12" s="66">
        <v>315000</v>
      </c>
      <c r="AL12" s="67">
        <v>0.31</v>
      </c>
      <c r="AM12" s="66">
        <v>315000</v>
      </c>
      <c r="AN12" s="67">
        <v>0.31</v>
      </c>
      <c r="AO12" s="224">
        <v>315000</v>
      </c>
      <c r="AP12" s="200">
        <v>0.31</v>
      </c>
      <c r="AQ12" s="224">
        <v>315000</v>
      </c>
      <c r="AR12" s="200">
        <v>0.31</v>
      </c>
      <c r="AS12" s="241">
        <v>315000</v>
      </c>
      <c r="AT12" s="240">
        <v>0.31</v>
      </c>
    </row>
    <row r="13" spans="1:47" ht="31.5">
      <c r="A13" s="64" t="s">
        <v>28</v>
      </c>
      <c r="B13" s="65" t="s">
        <v>29</v>
      </c>
      <c r="C13" s="35">
        <v>4076215.92</v>
      </c>
      <c r="D13" s="160">
        <v>4.03</v>
      </c>
      <c r="E13" s="35">
        <v>4081769.9</v>
      </c>
      <c r="F13" s="160">
        <v>4.0199999999999996</v>
      </c>
      <c r="G13" s="35">
        <v>4084546.89</v>
      </c>
      <c r="H13" s="160">
        <v>4.04</v>
      </c>
      <c r="I13" s="35">
        <v>4090100.87</v>
      </c>
      <c r="J13" s="160">
        <v>4.04</v>
      </c>
      <c r="K13" s="161">
        <v>4092877.86</v>
      </c>
      <c r="L13" s="162">
        <v>4.04</v>
      </c>
      <c r="M13" s="161">
        <v>4101208.83</v>
      </c>
      <c r="N13" s="162">
        <v>4.05</v>
      </c>
      <c r="O13" s="66">
        <v>4103985.82</v>
      </c>
      <c r="P13" s="67">
        <v>4.05</v>
      </c>
      <c r="Q13" s="66">
        <v>4106762.81</v>
      </c>
      <c r="R13" s="67">
        <v>4.05</v>
      </c>
      <c r="S13" s="66">
        <v>4109539.8</v>
      </c>
      <c r="T13" s="67">
        <v>4.0599999999999996</v>
      </c>
      <c r="U13" s="66">
        <v>4112316.79</v>
      </c>
      <c r="V13" s="67">
        <v>4.05</v>
      </c>
      <c r="W13" s="66">
        <v>4120647.76</v>
      </c>
      <c r="X13" s="67">
        <v>4.0599999999999996</v>
      </c>
      <c r="Y13" s="66">
        <v>4123424.75</v>
      </c>
      <c r="Z13" s="67">
        <v>4.0599999999999996</v>
      </c>
      <c r="AA13" s="66">
        <v>4126201.74</v>
      </c>
      <c r="AB13" s="67">
        <v>4.0599999999999996</v>
      </c>
      <c r="AC13" s="66">
        <v>4128978.73</v>
      </c>
      <c r="AD13" s="67">
        <v>4.07</v>
      </c>
      <c r="AE13" s="66">
        <v>4131755.72</v>
      </c>
      <c r="AF13" s="67">
        <v>4.07</v>
      </c>
      <c r="AG13" s="66">
        <v>4140106.96</v>
      </c>
      <c r="AH13" s="67">
        <v>4.0599999999999996</v>
      </c>
      <c r="AI13" s="66">
        <v>4056776.99</v>
      </c>
      <c r="AJ13" s="67">
        <v>3.9800000000000004</v>
      </c>
      <c r="AK13" s="66">
        <v>4059553.98</v>
      </c>
      <c r="AL13" s="67">
        <v>3.99</v>
      </c>
      <c r="AM13" s="66">
        <v>4062330.97</v>
      </c>
      <c r="AN13" s="67">
        <v>3.99</v>
      </c>
      <c r="AO13" s="224">
        <v>4065107.96</v>
      </c>
      <c r="AP13" s="200">
        <v>3.99</v>
      </c>
      <c r="AQ13" s="224">
        <v>4073438.93</v>
      </c>
      <c r="AR13" s="200">
        <v>4.01</v>
      </c>
      <c r="AS13" s="241">
        <v>4076215.92</v>
      </c>
      <c r="AT13" s="240">
        <v>4</v>
      </c>
    </row>
    <row r="14" spans="1:47" ht="47.25">
      <c r="A14" s="64" t="s">
        <v>30</v>
      </c>
      <c r="B14" s="72" t="s">
        <v>31</v>
      </c>
      <c r="C14" s="35">
        <v>4122313.6</v>
      </c>
      <c r="D14" s="160">
        <v>4.07</v>
      </c>
      <c r="E14" s="35">
        <v>4126259.2000000002</v>
      </c>
      <c r="F14" s="160">
        <v>4.0599999999999996</v>
      </c>
      <c r="G14" s="35">
        <v>4128232</v>
      </c>
      <c r="H14" s="160">
        <v>4.08</v>
      </c>
      <c r="I14" s="35">
        <v>4132177.6</v>
      </c>
      <c r="J14" s="160">
        <v>4.08</v>
      </c>
      <c r="K14" s="161">
        <v>4134150.4</v>
      </c>
      <c r="L14" s="162">
        <v>4.08</v>
      </c>
      <c r="M14" s="161">
        <v>4140068.8</v>
      </c>
      <c r="N14" s="162">
        <v>4.09</v>
      </c>
      <c r="O14" s="66">
        <v>4142041.6</v>
      </c>
      <c r="P14" s="67">
        <v>4.09</v>
      </c>
      <c r="Q14" s="66">
        <v>4144014.4</v>
      </c>
      <c r="R14" s="67">
        <v>4.09</v>
      </c>
      <c r="S14" s="66">
        <v>4145987.2</v>
      </c>
      <c r="T14" s="67">
        <v>4.0999999999999996</v>
      </c>
      <c r="U14" s="66">
        <v>4147960</v>
      </c>
      <c r="V14" s="67">
        <v>4.09</v>
      </c>
      <c r="W14" s="66">
        <v>4153878.4</v>
      </c>
      <c r="X14" s="67">
        <v>4.09</v>
      </c>
      <c r="Y14" s="66">
        <v>4155851.2</v>
      </c>
      <c r="Z14" s="67">
        <v>4.09</v>
      </c>
      <c r="AA14" s="66">
        <v>4157824</v>
      </c>
      <c r="AB14" s="67">
        <v>4.09</v>
      </c>
      <c r="AC14" s="66">
        <v>4159796.8</v>
      </c>
      <c r="AD14" s="67">
        <v>4.0999999999999996</v>
      </c>
      <c r="AE14" s="66">
        <v>4161769.6</v>
      </c>
      <c r="AF14" s="67">
        <v>4.0999999999999996</v>
      </c>
      <c r="AG14" s="66">
        <v>4167688</v>
      </c>
      <c r="AH14" s="67">
        <v>4.09</v>
      </c>
      <c r="AI14" s="66">
        <v>4169660.8</v>
      </c>
      <c r="AJ14" s="67">
        <v>4.0999999999999996</v>
      </c>
      <c r="AK14" s="66">
        <v>4171633.6</v>
      </c>
      <c r="AL14" s="67">
        <v>4.0999999999999996</v>
      </c>
      <c r="AM14" s="66">
        <v>4173606.4</v>
      </c>
      <c r="AN14" s="67">
        <v>4.0999999999999996</v>
      </c>
      <c r="AO14" s="66"/>
      <c r="AP14" s="67"/>
      <c r="AQ14" s="66"/>
      <c r="AR14" s="67"/>
      <c r="AS14" s="67"/>
      <c r="AT14" s="67"/>
    </row>
    <row r="15" spans="1:47">
      <c r="A15" s="73" t="s">
        <v>32</v>
      </c>
      <c r="B15" s="74" t="s">
        <v>33</v>
      </c>
      <c r="C15" s="35">
        <v>4078912</v>
      </c>
      <c r="D15" s="160">
        <v>4.03</v>
      </c>
      <c r="E15" s="35">
        <v>4082419.2</v>
      </c>
      <c r="F15" s="160">
        <v>4.0199999999999996</v>
      </c>
      <c r="G15" s="35">
        <v>4084172.7999999998</v>
      </c>
      <c r="H15" s="160">
        <v>4.04</v>
      </c>
      <c r="I15" s="35">
        <v>4087680</v>
      </c>
      <c r="J15" s="160">
        <v>4.03</v>
      </c>
      <c r="K15" s="161">
        <v>4089433.6</v>
      </c>
      <c r="L15" s="162">
        <v>4.03</v>
      </c>
      <c r="M15" s="161">
        <v>4094694.4</v>
      </c>
      <c r="N15" s="162">
        <v>4.04</v>
      </c>
      <c r="O15" s="66">
        <v>4096448</v>
      </c>
      <c r="P15" s="67">
        <v>4.04</v>
      </c>
      <c r="Q15" s="66">
        <v>4098201.6000000001</v>
      </c>
      <c r="R15" s="67">
        <v>4.04</v>
      </c>
      <c r="S15" s="66">
        <v>4099955.2</v>
      </c>
      <c r="T15" s="67">
        <v>4.05</v>
      </c>
      <c r="U15" s="66">
        <v>4101708.8</v>
      </c>
      <c r="V15" s="67">
        <v>4.04</v>
      </c>
      <c r="W15" s="66">
        <v>4106969.6</v>
      </c>
      <c r="X15" s="67">
        <v>4.04</v>
      </c>
      <c r="Y15" s="66">
        <v>4108723.2</v>
      </c>
      <c r="Z15" s="67">
        <v>4.04</v>
      </c>
      <c r="AA15" s="66">
        <v>4110476.8</v>
      </c>
      <c r="AB15" s="67">
        <v>4.04</v>
      </c>
      <c r="AC15" s="66">
        <v>4112230.3999999999</v>
      </c>
      <c r="AD15" s="67">
        <v>4.05</v>
      </c>
      <c r="AE15" s="66">
        <v>4113984</v>
      </c>
      <c r="AF15" s="67">
        <v>4.05</v>
      </c>
      <c r="AG15" s="66">
        <v>4119244.7999999998</v>
      </c>
      <c r="AH15" s="67">
        <v>4.04</v>
      </c>
      <c r="AI15" s="66">
        <v>4120998.4</v>
      </c>
      <c r="AJ15" s="67">
        <v>4.05</v>
      </c>
      <c r="AK15" s="66">
        <v>4122752</v>
      </c>
      <c r="AL15" s="67">
        <v>4.05</v>
      </c>
      <c r="AM15" s="66">
        <v>4124505.6</v>
      </c>
      <c r="AN15" s="67">
        <v>4.05</v>
      </c>
      <c r="AO15" s="66">
        <v>4126259.2000000002</v>
      </c>
      <c r="AP15" s="67">
        <v>4.05</v>
      </c>
      <c r="AQ15" s="66">
        <v>4131520</v>
      </c>
      <c r="AR15" s="67">
        <v>4.0599999999999996</v>
      </c>
      <c r="AS15" s="242">
        <v>4133273.6000000001</v>
      </c>
      <c r="AT15" s="240">
        <v>4.0599999999999996</v>
      </c>
    </row>
    <row r="16" spans="1:47">
      <c r="A16" s="64" t="s">
        <v>34</v>
      </c>
      <c r="B16" s="65" t="s">
        <v>35</v>
      </c>
      <c r="C16" s="35">
        <v>3916341.49</v>
      </c>
      <c r="D16" s="160">
        <v>3.87</v>
      </c>
      <c r="E16" s="35">
        <v>4128080.9</v>
      </c>
      <c r="F16" s="160">
        <v>4.07</v>
      </c>
      <c r="G16" s="35">
        <v>4130888.99</v>
      </c>
      <c r="H16" s="160">
        <v>4.08</v>
      </c>
      <c r="I16" s="35">
        <v>4136505.17</v>
      </c>
      <c r="J16" s="160">
        <v>4.08</v>
      </c>
      <c r="K16" s="161">
        <v>4139313.26</v>
      </c>
      <c r="L16" s="162">
        <v>4.08</v>
      </c>
      <c r="M16" s="161">
        <v>4147737.53</v>
      </c>
      <c r="N16" s="162">
        <v>4.0999999999999996</v>
      </c>
      <c r="O16" s="66">
        <v>4150545.62</v>
      </c>
      <c r="P16" s="67">
        <v>4.09</v>
      </c>
      <c r="Q16" s="66">
        <v>4153353.71</v>
      </c>
      <c r="R16" s="67">
        <v>4.0999999999999996</v>
      </c>
      <c r="S16" s="66">
        <v>4156161.8</v>
      </c>
      <c r="T16" s="67">
        <v>4.1100000000000003</v>
      </c>
      <c r="U16" s="66">
        <v>4158969.89</v>
      </c>
      <c r="V16" s="67">
        <v>4.0999999999999996</v>
      </c>
      <c r="W16" s="66">
        <v>4167394.16</v>
      </c>
      <c r="X16" s="67">
        <v>4.1099999999999994</v>
      </c>
      <c r="Y16" s="66">
        <v>4170202.25</v>
      </c>
      <c r="Z16" s="67">
        <v>4.0999999999999996</v>
      </c>
      <c r="AA16" s="66">
        <v>4173010.34</v>
      </c>
      <c r="AB16" s="67">
        <v>4.0999999999999996</v>
      </c>
      <c r="AC16" s="66">
        <v>4175818.43</v>
      </c>
      <c r="AD16" s="67">
        <v>4.12</v>
      </c>
      <c r="AE16" s="66">
        <v>4178626.52</v>
      </c>
      <c r="AF16" s="67">
        <v>4.12</v>
      </c>
      <c r="AG16" s="66">
        <v>4187050.79</v>
      </c>
      <c r="AH16" s="67">
        <v>4.1100000000000003</v>
      </c>
      <c r="AI16" s="66">
        <v>4189858.88</v>
      </c>
      <c r="AJ16" s="67">
        <v>4.12</v>
      </c>
      <c r="AK16" s="66">
        <v>4192666.97</v>
      </c>
      <c r="AL16" s="67">
        <v>4.12</v>
      </c>
      <c r="AM16" s="66">
        <v>4195475.0599999996</v>
      </c>
      <c r="AN16" s="67">
        <v>4.12</v>
      </c>
      <c r="AO16" s="66">
        <v>4198283.1500000004</v>
      </c>
      <c r="AP16" s="67">
        <v>4.12</v>
      </c>
      <c r="AQ16" s="66">
        <v>4206707.42</v>
      </c>
      <c r="AR16" s="67">
        <v>4.1399999999999997</v>
      </c>
      <c r="AS16" s="242">
        <v>4209515.51</v>
      </c>
      <c r="AT16" s="240">
        <v>4.1399999999999997</v>
      </c>
    </row>
    <row r="17" spans="1:47" ht="31.5">
      <c r="A17" s="64" t="s">
        <v>36</v>
      </c>
      <c r="B17" s="65" t="s">
        <v>37</v>
      </c>
      <c r="C17" s="35">
        <v>4095132.8</v>
      </c>
      <c r="D17" s="160">
        <v>4.05</v>
      </c>
      <c r="E17" s="35">
        <v>4098201.6000000001</v>
      </c>
      <c r="F17" s="160">
        <v>4.04</v>
      </c>
      <c r="G17" s="35">
        <v>4099736</v>
      </c>
      <c r="H17" s="160">
        <v>4.05</v>
      </c>
      <c r="I17" s="35">
        <v>4102804.8</v>
      </c>
      <c r="J17" s="160">
        <v>4.05</v>
      </c>
      <c r="K17" s="161">
        <v>4104339.2</v>
      </c>
      <c r="L17" s="162">
        <v>4.05</v>
      </c>
      <c r="M17" s="161">
        <v>4108942.4</v>
      </c>
      <c r="N17" s="162">
        <v>4.0599999999999996</v>
      </c>
      <c r="O17" s="66">
        <v>4110476.8</v>
      </c>
      <c r="P17" s="67">
        <v>4.0599999999999996</v>
      </c>
      <c r="Q17" s="66">
        <v>4112011.2</v>
      </c>
      <c r="R17" s="67">
        <v>4.0599999999999996</v>
      </c>
      <c r="S17" s="66">
        <v>4113545.6</v>
      </c>
      <c r="T17" s="67">
        <v>4.0599999999999996</v>
      </c>
      <c r="U17" s="66">
        <v>4115080</v>
      </c>
      <c r="V17" s="67">
        <v>4.0599999999999996</v>
      </c>
      <c r="W17" s="66">
        <v>4119683.2</v>
      </c>
      <c r="X17" s="67">
        <v>4.0599999999999996</v>
      </c>
      <c r="Y17" s="66">
        <v>4121217.6</v>
      </c>
      <c r="Z17" s="67">
        <v>4.0599999999999996</v>
      </c>
      <c r="AA17" s="66">
        <v>4122752</v>
      </c>
      <c r="AB17" s="67">
        <v>4.0599999999999996</v>
      </c>
      <c r="AC17" s="66"/>
      <c r="AD17" s="67"/>
      <c r="AE17" s="214"/>
      <c r="AF17" s="215"/>
      <c r="AG17" s="214"/>
      <c r="AH17" s="215"/>
      <c r="AI17" s="214"/>
      <c r="AJ17" s="215"/>
      <c r="AK17" s="214"/>
      <c r="AL17" s="215"/>
      <c r="AM17" s="214"/>
      <c r="AN17" s="215"/>
      <c r="AO17" s="215"/>
      <c r="AP17" s="215"/>
      <c r="AQ17" s="215"/>
      <c r="AR17" s="215"/>
      <c r="AS17" s="215"/>
      <c r="AT17" s="215"/>
    </row>
    <row r="18" spans="1:47" ht="16.5" thickBot="1">
      <c r="A18" s="64" t="s">
        <v>38</v>
      </c>
      <c r="B18" s="65" t="s">
        <v>39</v>
      </c>
      <c r="C18" s="35">
        <v>4097653.6</v>
      </c>
      <c r="D18" s="160">
        <v>4.05</v>
      </c>
      <c r="E18" s="35">
        <v>4100064.8</v>
      </c>
      <c r="F18" s="160">
        <v>4.04</v>
      </c>
      <c r="G18" s="35">
        <v>4101270.4</v>
      </c>
      <c r="H18" s="160">
        <v>4.0599999999999996</v>
      </c>
      <c r="I18" s="35">
        <v>4103681.6</v>
      </c>
      <c r="J18" s="160">
        <v>4.05</v>
      </c>
      <c r="K18" s="161">
        <v>4104887.2</v>
      </c>
      <c r="L18" s="162">
        <v>4.05</v>
      </c>
      <c r="M18" s="161">
        <v>4108504</v>
      </c>
      <c r="N18" s="162">
        <v>4.0599999999999996</v>
      </c>
      <c r="O18" s="66">
        <v>4109680</v>
      </c>
      <c r="P18" s="67">
        <v>4.05</v>
      </c>
      <c r="Q18" s="66">
        <v>4001205.6</v>
      </c>
      <c r="R18" s="67">
        <v>3.95</v>
      </c>
      <c r="S18" s="66">
        <v>4002411.2</v>
      </c>
      <c r="T18" s="67">
        <v>3.95</v>
      </c>
      <c r="U18" s="66">
        <v>4003616.8</v>
      </c>
      <c r="V18" s="67">
        <v>3.95</v>
      </c>
      <c r="W18" s="66">
        <v>4007233.6</v>
      </c>
      <c r="X18" s="67">
        <v>3.95</v>
      </c>
      <c r="Y18" s="66">
        <v>4008439.2</v>
      </c>
      <c r="Z18" s="67">
        <v>3.94</v>
      </c>
      <c r="AA18" s="66">
        <v>4009644.8</v>
      </c>
      <c r="AB18" s="67">
        <v>3.94</v>
      </c>
      <c r="AC18" s="66">
        <v>4010850.4</v>
      </c>
      <c r="AD18" s="67">
        <v>3.95</v>
      </c>
      <c r="AE18" s="66">
        <v>4012056</v>
      </c>
      <c r="AF18" s="67">
        <v>3.95</v>
      </c>
      <c r="AG18" s="66">
        <v>4015672.8</v>
      </c>
      <c r="AH18" s="67">
        <v>3.94</v>
      </c>
      <c r="AI18" s="66">
        <v>4016878.4</v>
      </c>
      <c r="AJ18" s="67">
        <v>3.95</v>
      </c>
      <c r="AK18" s="66">
        <v>4018084</v>
      </c>
      <c r="AL18" s="67">
        <v>3.95</v>
      </c>
      <c r="AM18" s="66">
        <v>4019289.6</v>
      </c>
      <c r="AN18" s="67">
        <v>3.95</v>
      </c>
      <c r="AO18" s="215">
        <v>4020495.2</v>
      </c>
      <c r="AP18" s="215">
        <v>3.9400000000000004</v>
      </c>
      <c r="AQ18" s="215">
        <v>4024112</v>
      </c>
      <c r="AR18" s="215">
        <v>3.95</v>
      </c>
      <c r="AS18" s="243">
        <v>4025317.6</v>
      </c>
      <c r="AT18" s="240">
        <v>3.95</v>
      </c>
    </row>
    <row r="19" spans="1:47" ht="16.5" thickBot="1">
      <c r="A19" s="1022" t="s">
        <v>40</v>
      </c>
      <c r="B19" s="1023"/>
      <c r="C19" s="15">
        <f t="shared" ref="C19:AL19" si="2">SUM(C10:C18)</f>
        <v>32624269.91</v>
      </c>
      <c r="D19" s="163">
        <f t="shared" si="2"/>
        <v>32.230000000000004</v>
      </c>
      <c r="E19" s="15">
        <f t="shared" si="2"/>
        <v>32859680.800000001</v>
      </c>
      <c r="F19" s="163">
        <f t="shared" si="2"/>
        <v>32.369999999999997</v>
      </c>
      <c r="G19" s="15">
        <f t="shared" si="2"/>
        <v>32874324.619999997</v>
      </c>
      <c r="H19" s="163">
        <f t="shared" si="2"/>
        <v>32.5</v>
      </c>
      <c r="I19" s="15">
        <f t="shared" si="2"/>
        <v>32903612.280000005</v>
      </c>
      <c r="J19" s="163">
        <f t="shared" si="2"/>
        <v>32.47</v>
      </c>
      <c r="K19" s="15">
        <f t="shared" si="2"/>
        <v>32918256.100000001</v>
      </c>
      <c r="L19" s="163">
        <f t="shared" si="2"/>
        <v>32.47</v>
      </c>
      <c r="M19" s="15">
        <f t="shared" si="2"/>
        <v>32962187.579999998</v>
      </c>
      <c r="N19" s="163">
        <f t="shared" si="2"/>
        <v>32.549999999999997</v>
      </c>
      <c r="O19" s="75">
        <f t="shared" si="2"/>
        <v>32976801.810000002</v>
      </c>
      <c r="P19" s="76">
        <f t="shared" si="2"/>
        <v>32.529999999999994</v>
      </c>
      <c r="Q19" s="75">
        <f t="shared" si="2"/>
        <v>32881765.640000004</v>
      </c>
      <c r="R19" s="76">
        <f t="shared" si="2"/>
        <v>32.44</v>
      </c>
      <c r="S19" s="75">
        <f t="shared" si="2"/>
        <v>32896409.460000001</v>
      </c>
      <c r="T19" s="76">
        <f t="shared" si="2"/>
        <v>32.5</v>
      </c>
      <c r="U19" s="75">
        <f t="shared" si="2"/>
        <v>32911053.290000003</v>
      </c>
      <c r="V19" s="76">
        <f t="shared" si="2"/>
        <v>32.44</v>
      </c>
      <c r="W19" s="75">
        <f t="shared" si="2"/>
        <v>32954984.77</v>
      </c>
      <c r="X19" s="76">
        <f t="shared" si="2"/>
        <v>32.46</v>
      </c>
      <c r="Y19" s="75">
        <f t="shared" si="2"/>
        <v>32969628.600000001</v>
      </c>
      <c r="Z19" s="76">
        <f t="shared" si="2"/>
        <v>32.44</v>
      </c>
      <c r="AA19" s="75">
        <f t="shared" si="2"/>
        <v>32984272.420000002</v>
      </c>
      <c r="AB19" s="76">
        <f t="shared" si="2"/>
        <v>32.44</v>
      </c>
      <c r="AC19" s="75">
        <f t="shared" si="2"/>
        <v>28874629.849999998</v>
      </c>
      <c r="AD19" s="76">
        <f t="shared" si="2"/>
        <v>28.46</v>
      </c>
      <c r="AE19" s="75">
        <f t="shared" si="2"/>
        <v>28887739.27</v>
      </c>
      <c r="AF19" s="76">
        <f t="shared" si="2"/>
        <v>28.46</v>
      </c>
      <c r="AG19" s="75">
        <f t="shared" si="2"/>
        <v>28927087.82</v>
      </c>
      <c r="AH19" s="76">
        <f t="shared" si="2"/>
        <v>28.39</v>
      </c>
      <c r="AI19" s="75">
        <f t="shared" si="2"/>
        <v>28854090.289999995</v>
      </c>
      <c r="AJ19" s="76">
        <f t="shared" si="2"/>
        <v>28.35</v>
      </c>
      <c r="AK19" s="75">
        <f t="shared" si="2"/>
        <v>28867199.719999999</v>
      </c>
      <c r="AL19" s="76">
        <f t="shared" si="2"/>
        <v>28.360000000000003</v>
      </c>
      <c r="AM19" s="75">
        <f t="shared" ref="AM19:AR19" si="3">SUM(AM10:AM18)</f>
        <v>28880309.140000001</v>
      </c>
      <c r="AN19" s="76">
        <f t="shared" si="3"/>
        <v>28.360000000000003</v>
      </c>
      <c r="AO19" s="76">
        <f t="shared" si="3"/>
        <v>24717839.370000001</v>
      </c>
      <c r="AP19" s="76">
        <f t="shared" si="3"/>
        <v>24.26</v>
      </c>
      <c r="AQ19" s="76">
        <f t="shared" si="3"/>
        <v>24751249.25</v>
      </c>
      <c r="AR19" s="76">
        <f t="shared" si="3"/>
        <v>24.34</v>
      </c>
      <c r="AS19" s="76">
        <f>SUM(AS10:AS18)</f>
        <v>24762385.880000003</v>
      </c>
      <c r="AT19" s="76">
        <f>SUM(AT10:AT18)</f>
        <v>24.32</v>
      </c>
      <c r="AU19" s="228">
        <f>AS19</f>
        <v>24762385.880000003</v>
      </c>
    </row>
    <row r="20" spans="1:47" ht="32.25" thickBot="1">
      <c r="A20" s="77" t="s">
        <v>41</v>
      </c>
      <c r="B20" s="78" t="s">
        <v>42</v>
      </c>
      <c r="C20" s="27"/>
      <c r="D20" s="164"/>
      <c r="E20" s="27"/>
      <c r="F20" s="164"/>
      <c r="G20" s="27"/>
      <c r="H20" s="164"/>
      <c r="I20" s="27"/>
      <c r="J20" s="164"/>
      <c r="K20" s="27"/>
      <c r="L20" s="164"/>
      <c r="M20" s="27"/>
      <c r="N20" s="164"/>
      <c r="O20" s="79"/>
      <c r="P20" s="80"/>
      <c r="Q20" s="79"/>
      <c r="R20" s="80"/>
      <c r="S20" s="79"/>
      <c r="T20" s="80"/>
      <c r="U20" s="79"/>
      <c r="V20" s="80"/>
      <c r="W20" s="79"/>
      <c r="X20" s="80"/>
      <c r="Y20" s="79"/>
      <c r="Z20" s="80"/>
      <c r="AA20" s="79"/>
      <c r="AB20" s="80"/>
      <c r="AC20" s="79"/>
      <c r="AD20" s="80"/>
      <c r="AE20" s="79"/>
      <c r="AF20" s="80"/>
      <c r="AG20" s="79"/>
      <c r="AH20" s="80"/>
      <c r="AI20" s="79"/>
      <c r="AJ20" s="80"/>
      <c r="AK20" s="79"/>
      <c r="AL20" s="80"/>
      <c r="AM20" s="79"/>
      <c r="AN20" s="80"/>
      <c r="AO20" s="79"/>
      <c r="AP20" s="80"/>
      <c r="AQ20" s="79"/>
      <c r="AR20" s="80"/>
      <c r="AS20" s="79"/>
      <c r="AT20" s="80"/>
      <c r="AU20" s="244">
        <v>24762385.876000002</v>
      </c>
    </row>
    <row r="21" spans="1:47" ht="16.5" thickBot="1">
      <c r="A21" s="1024" t="s">
        <v>43</v>
      </c>
      <c r="B21" s="1025"/>
      <c r="C21" s="16"/>
      <c r="D21" s="165"/>
      <c r="E21" s="16"/>
      <c r="F21" s="165"/>
      <c r="G21" s="16"/>
      <c r="H21" s="165"/>
      <c r="I21" s="16"/>
      <c r="J21" s="165"/>
      <c r="K21" s="16"/>
      <c r="L21" s="165"/>
      <c r="M21" s="16"/>
      <c r="N21" s="165"/>
      <c r="O21" s="81"/>
      <c r="P21" s="82"/>
      <c r="Q21" s="81"/>
      <c r="R21" s="82"/>
      <c r="S21" s="81"/>
      <c r="T21" s="82"/>
      <c r="U21" s="81"/>
      <c r="V21" s="82"/>
      <c r="W21" s="81"/>
      <c r="X21" s="82"/>
      <c r="Y21" s="81"/>
      <c r="Z21" s="82"/>
      <c r="AA21" s="81"/>
      <c r="AB21" s="82"/>
      <c r="AC21" s="81"/>
      <c r="AD21" s="82"/>
      <c r="AE21" s="81"/>
      <c r="AF21" s="82"/>
      <c r="AG21" s="81"/>
      <c r="AH21" s="82"/>
      <c r="AI21" s="81"/>
      <c r="AJ21" s="82"/>
      <c r="AK21" s="81"/>
      <c r="AL21" s="82"/>
      <c r="AM21" s="81"/>
      <c r="AN21" s="82"/>
      <c r="AO21" s="81"/>
      <c r="AP21" s="82"/>
      <c r="AQ21" s="81"/>
      <c r="AR21" s="82"/>
      <c r="AS21" s="81"/>
      <c r="AT21" s="82"/>
    </row>
    <row r="22" spans="1:47">
      <c r="A22" s="83">
        <v>101</v>
      </c>
      <c r="B22" s="84"/>
      <c r="C22" s="17">
        <v>550495</v>
      </c>
      <c r="D22" s="166">
        <v>0.54</v>
      </c>
      <c r="E22" s="17">
        <v>550495</v>
      </c>
      <c r="F22" s="166">
        <v>0.54</v>
      </c>
      <c r="G22" s="17">
        <v>550495</v>
      </c>
      <c r="H22" s="166">
        <v>0.54</v>
      </c>
      <c r="I22" s="17">
        <v>550495</v>
      </c>
      <c r="J22" s="166">
        <v>0.54</v>
      </c>
      <c r="K22" s="17">
        <v>550495</v>
      </c>
      <c r="L22" s="166">
        <v>0.54</v>
      </c>
      <c r="M22" s="17">
        <v>550495</v>
      </c>
      <c r="N22" s="166">
        <v>0.54</v>
      </c>
      <c r="O22" s="85">
        <v>550495</v>
      </c>
      <c r="P22" s="86">
        <v>0.54</v>
      </c>
      <c r="Q22" s="85">
        <v>550495</v>
      </c>
      <c r="R22" s="86">
        <v>0.54</v>
      </c>
      <c r="S22" s="85">
        <v>550495</v>
      </c>
      <c r="T22" s="86">
        <v>0.54</v>
      </c>
      <c r="U22" s="85">
        <v>550495</v>
      </c>
      <c r="V22" s="86">
        <v>0.54</v>
      </c>
      <c r="W22" s="85">
        <v>550495</v>
      </c>
      <c r="X22" s="86">
        <v>0.54</v>
      </c>
      <c r="Y22" s="85">
        <v>550495</v>
      </c>
      <c r="Z22" s="86">
        <v>0.54</v>
      </c>
      <c r="AA22" s="85">
        <v>550495</v>
      </c>
      <c r="AB22" s="86">
        <v>0.54</v>
      </c>
      <c r="AC22" s="85">
        <v>550495</v>
      </c>
      <c r="AD22" s="86">
        <v>0.54</v>
      </c>
      <c r="AE22" s="85">
        <v>550495</v>
      </c>
      <c r="AF22" s="86">
        <v>0.54</v>
      </c>
      <c r="AG22" s="85">
        <v>550495</v>
      </c>
      <c r="AH22" s="86">
        <v>0.54</v>
      </c>
      <c r="AI22" s="85">
        <v>550495</v>
      </c>
      <c r="AJ22" s="86">
        <v>0.54</v>
      </c>
      <c r="AK22" s="85">
        <v>550495</v>
      </c>
      <c r="AL22" s="86">
        <v>0.54</v>
      </c>
      <c r="AM22" s="85">
        <v>550495</v>
      </c>
      <c r="AN22" s="86">
        <v>0.54</v>
      </c>
      <c r="AO22" s="85">
        <v>550495</v>
      </c>
      <c r="AP22" s="86">
        <v>0.54</v>
      </c>
      <c r="AQ22" s="85">
        <v>550495</v>
      </c>
      <c r="AR22" s="86">
        <v>0.54</v>
      </c>
      <c r="AS22" s="85">
        <v>550495</v>
      </c>
      <c r="AT22" s="86">
        <v>0.54</v>
      </c>
    </row>
    <row r="23" spans="1:47">
      <c r="A23" s="87">
        <v>99</v>
      </c>
      <c r="B23" s="88"/>
      <c r="C23" s="18">
        <v>1188246.17</v>
      </c>
      <c r="D23" s="167">
        <v>1.17</v>
      </c>
      <c r="E23" s="18">
        <v>1188246.17</v>
      </c>
      <c r="F23" s="167">
        <v>1.17</v>
      </c>
      <c r="G23" s="18">
        <v>1188246.17</v>
      </c>
      <c r="H23" s="167">
        <v>1.18</v>
      </c>
      <c r="I23" s="18">
        <v>1188246.17</v>
      </c>
      <c r="J23" s="167">
        <v>1.18</v>
      </c>
      <c r="K23" s="18">
        <v>1188246.17</v>
      </c>
      <c r="L23" s="167">
        <v>1.17</v>
      </c>
      <c r="M23" s="18">
        <v>1188246.17</v>
      </c>
      <c r="N23" s="167">
        <v>1.17</v>
      </c>
      <c r="O23" s="89">
        <v>1188246.17</v>
      </c>
      <c r="P23" s="90">
        <v>1.17</v>
      </c>
      <c r="Q23" s="89">
        <v>1188246.17</v>
      </c>
      <c r="R23" s="90">
        <v>1.17</v>
      </c>
      <c r="S23" s="89">
        <v>1188246.17</v>
      </c>
      <c r="T23" s="90">
        <v>1.17</v>
      </c>
      <c r="U23" s="89">
        <v>1188246.17</v>
      </c>
      <c r="V23" s="90">
        <v>1.17</v>
      </c>
      <c r="W23" s="89">
        <v>1188246.17</v>
      </c>
      <c r="X23" s="90">
        <v>1.17</v>
      </c>
      <c r="Y23" s="89">
        <v>1188246.17</v>
      </c>
      <c r="Z23" s="90">
        <v>1.17</v>
      </c>
      <c r="AA23" s="89">
        <v>1188246.17</v>
      </c>
      <c r="AB23" s="90">
        <v>1.17</v>
      </c>
      <c r="AC23" s="89">
        <v>1188246.17</v>
      </c>
      <c r="AD23" s="90">
        <v>1.17</v>
      </c>
      <c r="AE23" s="89">
        <v>1188246.17</v>
      </c>
      <c r="AF23" s="90">
        <v>1.17</v>
      </c>
      <c r="AG23" s="89">
        <v>1188246.17</v>
      </c>
      <c r="AH23" s="90">
        <v>1.17</v>
      </c>
      <c r="AI23" s="89">
        <v>1188246.17</v>
      </c>
      <c r="AJ23" s="90">
        <v>1.17</v>
      </c>
      <c r="AK23" s="89">
        <v>1188246.17</v>
      </c>
      <c r="AL23" s="90">
        <v>1.17</v>
      </c>
      <c r="AM23" s="89">
        <v>1188246.17</v>
      </c>
      <c r="AN23" s="90">
        <v>1.17</v>
      </c>
      <c r="AO23" s="89">
        <v>1188246.17</v>
      </c>
      <c r="AP23" s="90">
        <v>1.17</v>
      </c>
      <c r="AQ23" s="89">
        <v>1188246.17</v>
      </c>
      <c r="AR23" s="90">
        <v>1.17</v>
      </c>
      <c r="AS23" s="89">
        <v>1188246.17</v>
      </c>
      <c r="AT23" s="90">
        <v>1.17</v>
      </c>
    </row>
    <row r="24" spans="1:47" ht="16.5" thickBot="1">
      <c r="A24" s="91">
        <v>109</v>
      </c>
      <c r="B24" s="92"/>
      <c r="C24" s="19">
        <v>5267242.53</v>
      </c>
      <c r="D24" s="168">
        <v>5.21</v>
      </c>
      <c r="E24" s="19">
        <v>5267242.53</v>
      </c>
      <c r="F24" s="168">
        <v>5.19</v>
      </c>
      <c r="G24" s="19">
        <v>5267242.53</v>
      </c>
      <c r="H24" s="168">
        <v>5.21</v>
      </c>
      <c r="I24" s="19">
        <v>5267242.53</v>
      </c>
      <c r="J24" s="168">
        <v>5.2</v>
      </c>
      <c r="K24" s="19">
        <v>5267242.53</v>
      </c>
      <c r="L24" s="168">
        <v>5.2</v>
      </c>
      <c r="M24" s="19">
        <v>5267242.53</v>
      </c>
      <c r="N24" s="168">
        <v>5.2</v>
      </c>
      <c r="O24" s="93">
        <v>5267242.53</v>
      </c>
      <c r="P24" s="94">
        <v>5.2</v>
      </c>
      <c r="Q24" s="93">
        <v>5267242.53</v>
      </c>
      <c r="R24" s="94">
        <v>5.2</v>
      </c>
      <c r="S24" s="93">
        <v>5267242.53</v>
      </c>
      <c r="T24" s="94">
        <v>5.2</v>
      </c>
      <c r="U24" s="93">
        <v>5267242.53</v>
      </c>
      <c r="V24" s="94">
        <v>5.2</v>
      </c>
      <c r="W24" s="93">
        <v>5267242.53</v>
      </c>
      <c r="X24" s="94">
        <v>5.19</v>
      </c>
      <c r="Y24" s="93">
        <v>5267242.53</v>
      </c>
      <c r="Z24" s="94">
        <v>5.18</v>
      </c>
      <c r="AA24" s="93">
        <v>5267242.53</v>
      </c>
      <c r="AB24" s="94">
        <v>5.18</v>
      </c>
      <c r="AC24" s="93">
        <v>5267242.53</v>
      </c>
      <c r="AD24" s="94">
        <v>5.19</v>
      </c>
      <c r="AE24" s="93">
        <v>5267242.53</v>
      </c>
      <c r="AF24" s="94">
        <v>5.19</v>
      </c>
      <c r="AG24" s="93">
        <v>5267242.53</v>
      </c>
      <c r="AH24" s="94">
        <v>5.17</v>
      </c>
      <c r="AI24" s="93">
        <v>5267242.53</v>
      </c>
      <c r="AJ24" s="94">
        <v>5.17</v>
      </c>
      <c r="AK24" s="93">
        <v>5267242.53</v>
      </c>
      <c r="AL24" s="94">
        <v>5.17</v>
      </c>
      <c r="AM24" s="93">
        <v>5267242.53</v>
      </c>
      <c r="AN24" s="94">
        <v>5.17</v>
      </c>
      <c r="AO24" s="93">
        <v>5267242.53</v>
      </c>
      <c r="AP24" s="94">
        <v>5.17</v>
      </c>
      <c r="AQ24" s="93">
        <v>5267242.53</v>
      </c>
      <c r="AR24" s="94">
        <v>5.18</v>
      </c>
      <c r="AS24" s="93">
        <v>5267242.53</v>
      </c>
      <c r="AT24" s="94">
        <v>5.17</v>
      </c>
    </row>
    <row r="25" spans="1:47" ht="16.5" thickBot="1">
      <c r="A25" s="1026" t="s">
        <v>44</v>
      </c>
      <c r="B25" s="1027"/>
      <c r="C25" s="16">
        <f t="shared" ref="C25:AL25" si="4">SUM(C22:C24)</f>
        <v>7005983.7000000002</v>
      </c>
      <c r="D25" s="169">
        <f t="shared" si="4"/>
        <v>6.92</v>
      </c>
      <c r="E25" s="16">
        <f t="shared" si="4"/>
        <v>7005983.7000000002</v>
      </c>
      <c r="F25" s="169">
        <f t="shared" si="4"/>
        <v>6.9</v>
      </c>
      <c r="G25" s="16">
        <f t="shared" si="4"/>
        <v>7005983.7000000002</v>
      </c>
      <c r="H25" s="169">
        <f t="shared" si="4"/>
        <v>6.93</v>
      </c>
      <c r="I25" s="16">
        <f t="shared" si="4"/>
        <v>7005983.7000000002</v>
      </c>
      <c r="J25" s="169">
        <f t="shared" si="4"/>
        <v>6.92</v>
      </c>
      <c r="K25" s="16">
        <f t="shared" si="4"/>
        <v>7005983.7000000002</v>
      </c>
      <c r="L25" s="169">
        <f t="shared" si="4"/>
        <v>6.91</v>
      </c>
      <c r="M25" s="16">
        <f t="shared" si="4"/>
        <v>7005983.7000000002</v>
      </c>
      <c r="N25" s="169">
        <f t="shared" si="4"/>
        <v>6.91</v>
      </c>
      <c r="O25" s="81">
        <f t="shared" si="4"/>
        <v>7005983.7000000002</v>
      </c>
      <c r="P25" s="95">
        <f t="shared" si="4"/>
        <v>6.91</v>
      </c>
      <c r="Q25" s="81">
        <f t="shared" si="4"/>
        <v>7005983.7000000002</v>
      </c>
      <c r="R25" s="95">
        <f t="shared" si="4"/>
        <v>6.91</v>
      </c>
      <c r="S25" s="81">
        <f t="shared" si="4"/>
        <v>7005983.7000000002</v>
      </c>
      <c r="T25" s="95">
        <f t="shared" si="4"/>
        <v>6.91</v>
      </c>
      <c r="U25" s="81">
        <f t="shared" si="4"/>
        <v>7005983.7000000002</v>
      </c>
      <c r="V25" s="95">
        <f t="shared" si="4"/>
        <v>6.91</v>
      </c>
      <c r="W25" s="81">
        <f t="shared" si="4"/>
        <v>7005983.7000000002</v>
      </c>
      <c r="X25" s="95">
        <f t="shared" si="4"/>
        <v>6.9</v>
      </c>
      <c r="Y25" s="81">
        <f t="shared" si="4"/>
        <v>7005983.7000000002</v>
      </c>
      <c r="Z25" s="95">
        <f t="shared" si="4"/>
        <v>6.89</v>
      </c>
      <c r="AA25" s="81">
        <f t="shared" si="4"/>
        <v>7005983.7000000002</v>
      </c>
      <c r="AB25" s="95">
        <f t="shared" si="4"/>
        <v>6.89</v>
      </c>
      <c r="AC25" s="81">
        <f t="shared" si="4"/>
        <v>7005983.7000000002</v>
      </c>
      <c r="AD25" s="95">
        <f t="shared" si="4"/>
        <v>6.9</v>
      </c>
      <c r="AE25" s="81">
        <f t="shared" si="4"/>
        <v>7005983.7000000002</v>
      </c>
      <c r="AF25" s="95">
        <f t="shared" si="4"/>
        <v>6.9</v>
      </c>
      <c r="AG25" s="81">
        <f t="shared" si="4"/>
        <v>7005983.7000000002</v>
      </c>
      <c r="AH25" s="95">
        <f t="shared" si="4"/>
        <v>6.88</v>
      </c>
      <c r="AI25" s="81">
        <f t="shared" si="4"/>
        <v>7005983.7000000002</v>
      </c>
      <c r="AJ25" s="95">
        <f t="shared" si="4"/>
        <v>6.88</v>
      </c>
      <c r="AK25" s="81">
        <f t="shared" si="4"/>
        <v>7005983.7000000002</v>
      </c>
      <c r="AL25" s="95">
        <f t="shared" si="4"/>
        <v>6.88</v>
      </c>
      <c r="AM25" s="81">
        <f t="shared" ref="AM25:AR25" si="5">SUM(AM22:AM24)</f>
        <v>7005983.7000000002</v>
      </c>
      <c r="AN25" s="95">
        <f t="shared" si="5"/>
        <v>6.88</v>
      </c>
      <c r="AO25" s="81">
        <f t="shared" si="5"/>
        <v>7005983.7000000002</v>
      </c>
      <c r="AP25" s="95">
        <f t="shared" si="5"/>
        <v>6.88</v>
      </c>
      <c r="AQ25" s="81">
        <f t="shared" si="5"/>
        <v>7005983.7000000002</v>
      </c>
      <c r="AR25" s="95">
        <f t="shared" si="5"/>
        <v>6.89</v>
      </c>
      <c r="AS25" s="81">
        <f>SUM(AS22:AS24)</f>
        <v>7005983.7000000002</v>
      </c>
      <c r="AT25" s="95">
        <f>SUM(AT22:AT24)</f>
        <v>6.88</v>
      </c>
    </row>
    <row r="26" spans="1:47">
      <c r="A26" s="96" t="s">
        <v>45</v>
      </c>
      <c r="B26" s="84" t="s">
        <v>46</v>
      </c>
      <c r="C26" s="36">
        <v>231.14</v>
      </c>
      <c r="D26" s="170">
        <v>0</v>
      </c>
      <c r="E26" s="36">
        <v>231.14</v>
      </c>
      <c r="F26" s="170">
        <v>0</v>
      </c>
      <c r="G26" s="36">
        <v>3500231.14</v>
      </c>
      <c r="H26" s="170">
        <v>3.45</v>
      </c>
      <c r="I26" s="36">
        <v>231.14</v>
      </c>
      <c r="J26" s="170"/>
      <c r="K26" s="36">
        <v>231.14</v>
      </c>
      <c r="L26" s="170"/>
      <c r="M26" s="47">
        <v>6.63</v>
      </c>
      <c r="N26" s="170"/>
      <c r="O26" s="98">
        <v>6.63</v>
      </c>
      <c r="P26" s="97"/>
      <c r="Q26" s="98">
        <v>6.63</v>
      </c>
      <c r="R26" s="97"/>
      <c r="S26" s="98">
        <v>6.63</v>
      </c>
      <c r="T26" s="97"/>
      <c r="U26" s="47">
        <v>109686.63</v>
      </c>
      <c r="V26" s="97">
        <v>0.11</v>
      </c>
      <c r="W26" s="47">
        <v>109686.63</v>
      </c>
      <c r="X26" s="97">
        <v>0.11</v>
      </c>
      <c r="Y26" s="47">
        <v>118330.77</v>
      </c>
      <c r="Z26" s="97">
        <v>0.12</v>
      </c>
      <c r="AA26" s="210">
        <v>103330.77</v>
      </c>
      <c r="AB26" s="97">
        <v>0.1</v>
      </c>
      <c r="AC26" s="210">
        <v>4227610.7699999996</v>
      </c>
      <c r="AD26" s="97">
        <v>4.17</v>
      </c>
      <c r="AE26" s="210">
        <v>4227610.7699999996</v>
      </c>
      <c r="AF26" s="97">
        <v>4.16</v>
      </c>
      <c r="AG26" s="47">
        <v>4227610.7699999996</v>
      </c>
      <c r="AH26" s="97">
        <v>4.1500000000000004</v>
      </c>
      <c r="AI26" s="47">
        <v>4227610.7699999996</v>
      </c>
      <c r="AJ26" s="97">
        <v>4.1500000000000004</v>
      </c>
      <c r="AK26" s="47">
        <v>4187610.77</v>
      </c>
      <c r="AL26" s="97">
        <v>4.1100000000000003</v>
      </c>
      <c r="AM26" s="47">
        <v>4241123.1900000004</v>
      </c>
      <c r="AN26" s="97">
        <v>4.16</v>
      </c>
      <c r="AO26" s="47">
        <v>8414723.1899999995</v>
      </c>
      <c r="AP26" s="97">
        <v>8.26</v>
      </c>
      <c r="AQ26" s="47">
        <v>8414723.1899999995</v>
      </c>
      <c r="AR26" s="97">
        <v>8.2799999999999994</v>
      </c>
      <c r="AS26" s="235">
        <v>8414723.1899999995</v>
      </c>
      <c r="AT26" s="97">
        <v>8.26</v>
      </c>
    </row>
    <row r="27" spans="1:47">
      <c r="A27" s="99" t="s">
        <v>45</v>
      </c>
      <c r="B27" s="88" t="s">
        <v>46</v>
      </c>
      <c r="C27" s="36">
        <v>353.6</v>
      </c>
      <c r="D27" s="171">
        <v>0</v>
      </c>
      <c r="E27" s="36">
        <v>353.6</v>
      </c>
      <c r="F27" s="171">
        <v>0</v>
      </c>
      <c r="G27" s="36">
        <v>1852.21</v>
      </c>
      <c r="H27" s="171">
        <v>0</v>
      </c>
      <c r="I27" s="36">
        <v>1952.21</v>
      </c>
      <c r="J27" s="171"/>
      <c r="K27" s="36">
        <v>1952.21</v>
      </c>
      <c r="L27" s="171"/>
      <c r="M27" s="47">
        <v>6381.07</v>
      </c>
      <c r="N27" s="171">
        <v>0.01</v>
      </c>
      <c r="O27" s="98">
        <v>6269.07</v>
      </c>
      <c r="P27" s="100">
        <v>0.01</v>
      </c>
      <c r="Q27" s="98">
        <v>2601.6999999999998</v>
      </c>
      <c r="R27" s="100">
        <v>0</v>
      </c>
      <c r="S27" s="98">
        <v>2601.6999999999998</v>
      </c>
      <c r="T27" s="100">
        <v>0</v>
      </c>
      <c r="U27" s="47">
        <v>2601.6999999999998</v>
      </c>
      <c r="V27" s="100">
        <v>0</v>
      </c>
      <c r="W27" s="47">
        <v>2601.6999999999998</v>
      </c>
      <c r="X27" s="100">
        <v>0</v>
      </c>
      <c r="Y27" s="47">
        <v>2601.6999999999998</v>
      </c>
      <c r="Z27" s="100">
        <v>0</v>
      </c>
      <c r="AA27" s="210">
        <v>10651.91</v>
      </c>
      <c r="AB27" s="100">
        <v>0.01</v>
      </c>
      <c r="AC27" s="210">
        <v>9384.56</v>
      </c>
      <c r="AD27" s="100">
        <v>0.01</v>
      </c>
      <c r="AE27" s="210">
        <v>17376.560000000001</v>
      </c>
      <c r="AF27" s="100">
        <v>0.02</v>
      </c>
      <c r="AG27" s="216">
        <v>17376.560000000001</v>
      </c>
      <c r="AH27" s="100">
        <v>0.02</v>
      </c>
      <c r="AI27" s="216">
        <v>17376.560000000001</v>
      </c>
      <c r="AJ27" s="100">
        <v>0.02</v>
      </c>
      <c r="AK27" s="47">
        <v>5656.53</v>
      </c>
      <c r="AL27" s="100">
        <v>0.01</v>
      </c>
      <c r="AM27" s="47">
        <v>8522.4500000000007</v>
      </c>
      <c r="AN27" s="100">
        <v>0.01</v>
      </c>
      <c r="AO27" s="47">
        <v>8522.4500000000007</v>
      </c>
      <c r="AP27" s="100">
        <v>0.01</v>
      </c>
      <c r="AQ27" s="225">
        <v>17052.45</v>
      </c>
      <c r="AR27" s="100">
        <v>0.02</v>
      </c>
      <c r="AS27" s="236">
        <v>16552.45</v>
      </c>
      <c r="AT27" s="100">
        <v>0.01</v>
      </c>
    </row>
    <row r="28" spans="1:47">
      <c r="A28" s="101"/>
      <c r="B28" s="92"/>
      <c r="C28" s="48">
        <v>4500000</v>
      </c>
      <c r="D28" s="171">
        <v>4.45</v>
      </c>
      <c r="E28" s="48">
        <v>4500000</v>
      </c>
      <c r="F28" s="171">
        <v>3.44</v>
      </c>
      <c r="G28" s="48">
        <v>4500000</v>
      </c>
      <c r="H28" s="171">
        <v>3.45</v>
      </c>
      <c r="I28" s="48">
        <v>4500000</v>
      </c>
      <c r="J28" s="171">
        <v>3.44</v>
      </c>
      <c r="K28" s="48">
        <v>4500000</v>
      </c>
      <c r="L28" s="171">
        <v>3.44</v>
      </c>
      <c r="M28" s="48">
        <v>4500000</v>
      </c>
      <c r="N28" s="171">
        <v>4.4400000000000004</v>
      </c>
      <c r="O28" s="102">
        <v>4500000</v>
      </c>
      <c r="P28" s="100">
        <v>4.4400000000000004</v>
      </c>
      <c r="Q28" s="102">
        <v>4500000</v>
      </c>
      <c r="R28" s="100">
        <v>4.4400000000000004</v>
      </c>
      <c r="S28" s="102">
        <v>4500000</v>
      </c>
      <c r="T28" s="100">
        <v>4.45</v>
      </c>
      <c r="U28" s="48">
        <v>4500000</v>
      </c>
      <c r="V28" s="100">
        <v>4.4400000000000004</v>
      </c>
      <c r="W28" s="48">
        <v>4500000</v>
      </c>
      <c r="X28" s="100">
        <v>4.43</v>
      </c>
      <c r="Y28" s="48">
        <v>4500000</v>
      </c>
      <c r="Z28" s="100">
        <v>4.43</v>
      </c>
      <c r="AA28" s="48">
        <v>4500000</v>
      </c>
      <c r="AB28" s="100">
        <v>4.43</v>
      </c>
      <c r="AC28" s="48">
        <v>4500000</v>
      </c>
      <c r="AD28" s="100">
        <v>4.43</v>
      </c>
      <c r="AE28" s="48">
        <v>4500000</v>
      </c>
      <c r="AF28" s="100">
        <v>4.43</v>
      </c>
      <c r="AG28" s="48">
        <v>4500000</v>
      </c>
      <c r="AH28" s="100">
        <v>4.41</v>
      </c>
      <c r="AI28" s="48">
        <v>4500000</v>
      </c>
      <c r="AJ28" s="100">
        <v>4.41</v>
      </c>
      <c r="AK28" s="48">
        <v>4500000</v>
      </c>
      <c r="AL28" s="100">
        <v>4.42</v>
      </c>
      <c r="AM28" s="48">
        <v>4500000</v>
      </c>
      <c r="AN28" s="100">
        <v>4.42</v>
      </c>
      <c r="AO28" s="48">
        <v>4500000</v>
      </c>
      <c r="AP28" s="100">
        <v>4.41</v>
      </c>
      <c r="AQ28" s="48">
        <v>4500000</v>
      </c>
      <c r="AR28" s="100">
        <v>4.42</v>
      </c>
      <c r="AS28" s="48">
        <v>4500000</v>
      </c>
      <c r="AT28" s="100">
        <v>4.42</v>
      </c>
    </row>
    <row r="29" spans="1:47" s="107" customFormat="1">
      <c r="A29" s="103"/>
      <c r="B29" s="104"/>
      <c r="C29" s="52"/>
      <c r="D29" s="172"/>
      <c r="E29" s="52"/>
      <c r="F29" s="172"/>
      <c r="G29" s="52"/>
      <c r="H29" s="172"/>
      <c r="I29" s="52"/>
      <c r="J29" s="172"/>
      <c r="K29" s="52"/>
      <c r="L29" s="172"/>
      <c r="M29" s="53">
        <v>3500000</v>
      </c>
      <c r="N29" s="172">
        <v>3.46</v>
      </c>
      <c r="O29" s="106">
        <v>3500000</v>
      </c>
      <c r="P29" s="105">
        <v>3.45</v>
      </c>
      <c r="Q29" s="106">
        <v>3500000</v>
      </c>
      <c r="R29" s="105">
        <v>3.46</v>
      </c>
      <c r="S29" s="106">
        <v>3500000</v>
      </c>
      <c r="T29" s="105">
        <v>3.46</v>
      </c>
      <c r="U29" s="48">
        <v>3500000</v>
      </c>
      <c r="V29" s="105">
        <v>3.45</v>
      </c>
      <c r="W29" s="48">
        <v>3500000</v>
      </c>
      <c r="X29" s="105">
        <v>3.45</v>
      </c>
      <c r="Y29" s="48">
        <v>3500000</v>
      </c>
      <c r="Z29" s="105">
        <v>3.44</v>
      </c>
      <c r="AA29" s="48">
        <v>3500000</v>
      </c>
      <c r="AB29" s="105">
        <v>3.44</v>
      </c>
      <c r="AC29" s="48">
        <v>3500000</v>
      </c>
      <c r="AD29" s="105">
        <v>3.45</v>
      </c>
      <c r="AE29" s="48">
        <v>3500000</v>
      </c>
      <c r="AF29" s="105">
        <v>3.45</v>
      </c>
      <c r="AG29" s="48">
        <v>3500000</v>
      </c>
      <c r="AH29" s="105">
        <v>3.43</v>
      </c>
      <c r="AI29" s="48">
        <v>3500000</v>
      </c>
      <c r="AJ29" s="105">
        <v>3.44</v>
      </c>
      <c r="AK29" s="48">
        <v>3500000</v>
      </c>
      <c r="AL29" s="105">
        <v>3.44</v>
      </c>
      <c r="AM29" s="48">
        <v>3500000</v>
      </c>
      <c r="AN29" s="105">
        <v>3.44</v>
      </c>
      <c r="AO29" s="48">
        <v>3500000</v>
      </c>
      <c r="AP29" s="105">
        <v>3.43</v>
      </c>
      <c r="AQ29" s="48">
        <v>3500000</v>
      </c>
      <c r="AR29" s="105">
        <v>3.44</v>
      </c>
      <c r="AS29" s="48">
        <v>3500000</v>
      </c>
      <c r="AT29" s="105">
        <v>3.44</v>
      </c>
    </row>
    <row r="30" spans="1:47" ht="16.5" thickBot="1">
      <c r="A30" s="101" t="s">
        <v>47</v>
      </c>
      <c r="B30" s="92" t="s">
        <v>46</v>
      </c>
      <c r="C30" s="36">
        <v>4753201.74</v>
      </c>
      <c r="D30" s="173">
        <v>4.7</v>
      </c>
      <c r="E30" s="36">
        <v>4753201.74</v>
      </c>
      <c r="F30" s="173">
        <v>4.68</v>
      </c>
      <c r="G30" s="36">
        <v>990201.74</v>
      </c>
      <c r="H30" s="173">
        <v>0.98</v>
      </c>
      <c r="I30" s="36">
        <v>4490201.74</v>
      </c>
      <c r="J30" s="173">
        <v>4.43</v>
      </c>
      <c r="K30" s="36">
        <v>4490201.74</v>
      </c>
      <c r="L30" s="173">
        <v>4.43</v>
      </c>
      <c r="M30" s="49">
        <v>760201.74</v>
      </c>
      <c r="N30" s="173">
        <v>0.75</v>
      </c>
      <c r="O30" s="109">
        <v>760201.74</v>
      </c>
      <c r="P30" s="108">
        <v>0.75</v>
      </c>
      <c r="Q30" s="109">
        <v>720201.74</v>
      </c>
      <c r="R30" s="108">
        <v>0.71</v>
      </c>
      <c r="S30" s="109">
        <v>720201.74</v>
      </c>
      <c r="T30" s="108">
        <v>0.71</v>
      </c>
      <c r="U30" s="49">
        <v>720201.74</v>
      </c>
      <c r="V30" s="108">
        <v>0.71</v>
      </c>
      <c r="W30" s="49">
        <v>720201.74</v>
      </c>
      <c r="X30" s="108">
        <v>0.71</v>
      </c>
      <c r="Y30" s="49">
        <v>720201.74</v>
      </c>
      <c r="Z30" s="108">
        <v>0.71</v>
      </c>
      <c r="AA30" s="49">
        <v>720201.74</v>
      </c>
      <c r="AB30" s="108">
        <v>0.71</v>
      </c>
      <c r="AC30" s="49">
        <v>720201.74</v>
      </c>
      <c r="AD30" s="108">
        <v>0.71</v>
      </c>
      <c r="AE30" s="49">
        <v>720201.74</v>
      </c>
      <c r="AF30" s="108">
        <v>0.71</v>
      </c>
      <c r="AG30" s="49">
        <v>720201.74</v>
      </c>
      <c r="AH30" s="108">
        <v>0.71</v>
      </c>
      <c r="AI30" s="49">
        <v>720201.74</v>
      </c>
      <c r="AJ30" s="108">
        <v>0.71</v>
      </c>
      <c r="AK30" s="49">
        <v>720201.74</v>
      </c>
      <c r="AL30" s="108">
        <v>0.71</v>
      </c>
      <c r="AM30" s="49">
        <v>720201.74</v>
      </c>
      <c r="AN30" s="108">
        <v>0.71</v>
      </c>
      <c r="AO30" s="49">
        <v>720201.74</v>
      </c>
      <c r="AP30" s="108">
        <v>0.71</v>
      </c>
      <c r="AQ30" s="49">
        <v>720201.74</v>
      </c>
      <c r="AR30" s="108">
        <v>0.71</v>
      </c>
      <c r="AS30" s="249">
        <v>720216.43</v>
      </c>
      <c r="AT30" s="108">
        <v>0.71</v>
      </c>
    </row>
    <row r="31" spans="1:47" ht="16.5" thickBot="1">
      <c r="A31" s="1028" t="s">
        <v>44</v>
      </c>
      <c r="B31" s="1028"/>
      <c r="C31" s="16">
        <f t="shared" ref="C31:AL31" si="6">SUM(C26:C30)</f>
        <v>9253786.4800000004</v>
      </c>
      <c r="D31" s="165">
        <f t="shared" si="6"/>
        <v>9.15</v>
      </c>
      <c r="E31" s="16">
        <f t="shared" si="6"/>
        <v>9253786.4800000004</v>
      </c>
      <c r="F31" s="165">
        <f t="shared" si="6"/>
        <v>8.1199999999999992</v>
      </c>
      <c r="G31" s="16">
        <f t="shared" si="6"/>
        <v>8992285.0899999999</v>
      </c>
      <c r="H31" s="165">
        <f t="shared" si="6"/>
        <v>7.8800000000000008</v>
      </c>
      <c r="I31" s="16">
        <f t="shared" si="6"/>
        <v>8992385.0899999999</v>
      </c>
      <c r="J31" s="165">
        <f t="shared" si="6"/>
        <v>7.8699999999999992</v>
      </c>
      <c r="K31" s="16">
        <f t="shared" si="6"/>
        <v>8992385.0899999999</v>
      </c>
      <c r="L31" s="165">
        <f t="shared" si="6"/>
        <v>7.8699999999999992</v>
      </c>
      <c r="M31" s="16">
        <f t="shared" si="6"/>
        <v>8766589.4399999995</v>
      </c>
      <c r="N31" s="165">
        <f t="shared" si="6"/>
        <v>8.66</v>
      </c>
      <c r="O31" s="81">
        <f t="shared" si="6"/>
        <v>8766477.4399999995</v>
      </c>
      <c r="P31" s="82">
        <f t="shared" si="6"/>
        <v>8.65</v>
      </c>
      <c r="Q31" s="81">
        <f t="shared" si="6"/>
        <v>8722810.0700000003</v>
      </c>
      <c r="R31" s="82">
        <f t="shared" si="6"/>
        <v>8.61</v>
      </c>
      <c r="S31" s="81">
        <f t="shared" si="6"/>
        <v>8722810.0700000003</v>
      </c>
      <c r="T31" s="82">
        <f t="shared" si="6"/>
        <v>8.620000000000001</v>
      </c>
      <c r="U31" s="81">
        <f t="shared" si="6"/>
        <v>8832490.0700000003</v>
      </c>
      <c r="V31" s="82">
        <f t="shared" si="6"/>
        <v>8.7100000000000009</v>
      </c>
      <c r="W31" s="81">
        <f t="shared" si="6"/>
        <v>8832490.0700000003</v>
      </c>
      <c r="X31" s="82">
        <f t="shared" si="6"/>
        <v>8.6999999999999993</v>
      </c>
      <c r="Y31" s="81">
        <f t="shared" si="6"/>
        <v>8841134.209999999</v>
      </c>
      <c r="Z31" s="82">
        <f t="shared" si="6"/>
        <v>8.6999999999999993</v>
      </c>
      <c r="AA31" s="81">
        <f t="shared" si="6"/>
        <v>8834184.4199999999</v>
      </c>
      <c r="AB31" s="82">
        <f t="shared" si="6"/>
        <v>8.6900000000000013</v>
      </c>
      <c r="AC31" s="81">
        <f t="shared" si="6"/>
        <v>12957197.069999998</v>
      </c>
      <c r="AD31" s="82">
        <f t="shared" si="6"/>
        <v>12.77</v>
      </c>
      <c r="AE31" s="81">
        <f t="shared" si="6"/>
        <v>12965189.069999998</v>
      </c>
      <c r="AF31" s="82">
        <f t="shared" si="6"/>
        <v>12.77</v>
      </c>
      <c r="AG31" s="81">
        <f t="shared" si="6"/>
        <v>12965189.069999998</v>
      </c>
      <c r="AH31" s="82">
        <f t="shared" si="6"/>
        <v>12.719999999999999</v>
      </c>
      <c r="AI31" s="81">
        <f t="shared" si="6"/>
        <v>12965189.069999998</v>
      </c>
      <c r="AJ31" s="82">
        <f t="shared" si="6"/>
        <v>12.73</v>
      </c>
      <c r="AK31" s="81">
        <f t="shared" si="6"/>
        <v>12913469.040000001</v>
      </c>
      <c r="AL31" s="82">
        <f t="shared" si="6"/>
        <v>12.689999999999998</v>
      </c>
      <c r="AM31" s="81">
        <f t="shared" ref="AM31:AR31" si="7">SUM(AM26:AM30)</f>
        <v>12969847.380000001</v>
      </c>
      <c r="AN31" s="82">
        <f t="shared" si="7"/>
        <v>12.739999999999998</v>
      </c>
      <c r="AO31" s="81">
        <f t="shared" si="7"/>
        <v>17143447.379999999</v>
      </c>
      <c r="AP31" s="82">
        <f t="shared" si="7"/>
        <v>16.82</v>
      </c>
      <c r="AQ31" s="81">
        <f t="shared" si="7"/>
        <v>17151977.379999999</v>
      </c>
      <c r="AR31" s="82">
        <f t="shared" si="7"/>
        <v>16.87</v>
      </c>
      <c r="AS31" s="82">
        <f>SUM(AS26:AS30)</f>
        <v>17151492.07</v>
      </c>
      <c r="AT31" s="82">
        <f>SUM(AT26:AT30)</f>
        <v>16.84</v>
      </c>
    </row>
    <row r="32" spans="1:47" ht="16.5" thickBot="1">
      <c r="A32" s="1029" t="s">
        <v>48</v>
      </c>
      <c r="B32" s="1030"/>
      <c r="C32" s="20"/>
      <c r="D32" s="174"/>
      <c r="E32" s="20"/>
      <c r="F32" s="174"/>
      <c r="G32" s="20"/>
      <c r="H32" s="174"/>
      <c r="I32" s="20"/>
      <c r="J32" s="174"/>
      <c r="K32" s="20"/>
      <c r="L32" s="174"/>
      <c r="M32" s="20"/>
      <c r="N32" s="174"/>
      <c r="O32" s="110"/>
      <c r="P32" s="111"/>
      <c r="Q32" s="110"/>
      <c r="R32" s="111"/>
      <c r="S32" s="110"/>
      <c r="T32" s="111"/>
      <c r="U32" s="110"/>
      <c r="V32" s="111"/>
      <c r="W32" s="110"/>
      <c r="X32" s="111"/>
      <c r="Y32" s="110"/>
      <c r="Z32" s="111"/>
      <c r="AA32" s="110"/>
      <c r="AB32" s="111"/>
      <c r="AC32" s="110"/>
      <c r="AD32" s="111"/>
      <c r="AE32" s="110"/>
      <c r="AF32" s="111"/>
      <c r="AG32" s="110"/>
      <c r="AH32" s="111"/>
      <c r="AI32" s="110"/>
      <c r="AJ32" s="111"/>
      <c r="AK32" s="110"/>
      <c r="AL32" s="111"/>
      <c r="AM32" s="110"/>
      <c r="AN32" s="111"/>
      <c r="AO32" s="110"/>
      <c r="AP32" s="111"/>
      <c r="AQ32" s="110"/>
      <c r="AR32" s="111"/>
      <c r="AS32" s="110"/>
      <c r="AT32" s="111"/>
    </row>
    <row r="33" spans="1:47" ht="16.5" thickBot="1">
      <c r="A33" s="1031" t="s">
        <v>44</v>
      </c>
      <c r="B33" s="1031"/>
      <c r="C33" s="16"/>
      <c r="D33" s="169"/>
      <c r="E33" s="16"/>
      <c r="F33" s="169"/>
      <c r="G33" s="16"/>
      <c r="H33" s="169"/>
      <c r="I33" s="16"/>
      <c r="J33" s="169"/>
      <c r="K33" s="16"/>
      <c r="L33" s="169"/>
      <c r="M33" s="16"/>
      <c r="N33" s="169"/>
      <c r="O33" s="112"/>
      <c r="P33" s="113"/>
      <c r="Q33" s="112"/>
      <c r="R33" s="113"/>
      <c r="S33" s="112"/>
      <c r="T33" s="113"/>
      <c r="U33" s="112"/>
      <c r="V33" s="113"/>
      <c r="W33" s="112"/>
      <c r="X33" s="113"/>
      <c r="Y33" s="112"/>
      <c r="Z33" s="113"/>
      <c r="AA33" s="112"/>
      <c r="AB33" s="113"/>
      <c r="AC33" s="112"/>
      <c r="AD33" s="113"/>
      <c r="AE33" s="112"/>
      <c r="AF33" s="113"/>
      <c r="AG33" s="112"/>
      <c r="AH33" s="113"/>
      <c r="AI33" s="112"/>
      <c r="AJ33" s="113"/>
      <c r="AK33" s="112"/>
      <c r="AL33" s="113"/>
      <c r="AM33" s="112"/>
      <c r="AN33" s="113"/>
      <c r="AO33" s="112"/>
      <c r="AP33" s="113"/>
      <c r="AQ33" s="112"/>
      <c r="AR33" s="113"/>
      <c r="AS33" s="112"/>
      <c r="AT33" s="113"/>
    </row>
    <row r="34" spans="1:47">
      <c r="A34" s="114" t="s">
        <v>67</v>
      </c>
      <c r="B34" s="115" t="s">
        <v>74</v>
      </c>
      <c r="C34" s="37"/>
      <c r="D34" s="175"/>
      <c r="E34" s="37"/>
      <c r="F34" s="175"/>
      <c r="G34" s="41">
        <v>300</v>
      </c>
      <c r="H34" s="176"/>
      <c r="I34" s="41">
        <v>300</v>
      </c>
      <c r="J34" s="176"/>
      <c r="K34" s="41">
        <v>300</v>
      </c>
      <c r="L34" s="176"/>
      <c r="M34" s="41">
        <v>300</v>
      </c>
      <c r="N34" s="177"/>
      <c r="O34" s="120">
        <v>300</v>
      </c>
      <c r="P34" s="121"/>
      <c r="Q34" s="120">
        <v>300</v>
      </c>
      <c r="R34" s="121"/>
      <c r="S34" s="120">
        <v>300</v>
      </c>
      <c r="T34" s="121"/>
      <c r="U34" s="120">
        <v>300</v>
      </c>
      <c r="V34" s="121"/>
      <c r="W34" s="120">
        <v>300</v>
      </c>
      <c r="X34" s="121"/>
      <c r="Y34" s="120">
        <v>300</v>
      </c>
      <c r="Z34" s="121"/>
      <c r="AA34" s="120">
        <v>300</v>
      </c>
      <c r="AB34" s="121"/>
      <c r="AC34" s="120">
        <v>300</v>
      </c>
      <c r="AD34" s="121"/>
      <c r="AE34" s="120">
        <v>300</v>
      </c>
      <c r="AF34" s="121"/>
      <c r="AG34" s="120">
        <v>300</v>
      </c>
      <c r="AH34" s="121"/>
      <c r="AI34" s="120">
        <v>300</v>
      </c>
      <c r="AJ34" s="121"/>
      <c r="AK34" s="120">
        <v>300</v>
      </c>
      <c r="AL34" s="121"/>
      <c r="AM34" s="120">
        <v>300</v>
      </c>
      <c r="AN34" s="121"/>
      <c r="AO34" s="120">
        <v>300</v>
      </c>
      <c r="AP34" s="121"/>
      <c r="AQ34" s="120">
        <v>300</v>
      </c>
      <c r="AR34" s="121"/>
      <c r="AS34" s="238"/>
      <c r="AT34" s="226"/>
    </row>
    <row r="35" spans="1:47" ht="47.25">
      <c r="A35" s="122" t="s">
        <v>58</v>
      </c>
      <c r="B35" s="123" t="s">
        <v>75</v>
      </c>
      <c r="C35" s="38">
        <v>47232.88</v>
      </c>
      <c r="D35" s="178">
        <v>0.05</v>
      </c>
      <c r="E35" s="179">
        <v>49205.48</v>
      </c>
      <c r="F35" s="178">
        <v>0.05</v>
      </c>
      <c r="G35" s="179">
        <v>50191.78</v>
      </c>
      <c r="H35" s="178">
        <v>0.05</v>
      </c>
      <c r="I35" s="179">
        <v>52164.38</v>
      </c>
      <c r="J35" s="178">
        <v>0.05</v>
      </c>
      <c r="K35" s="179">
        <v>53150.68</v>
      </c>
      <c r="L35" s="178">
        <v>0.05</v>
      </c>
      <c r="M35" s="179">
        <v>56109.59</v>
      </c>
      <c r="N35" s="180">
        <v>0.06</v>
      </c>
      <c r="O35" s="126">
        <v>57095.89</v>
      </c>
      <c r="P35" s="124">
        <v>0.06</v>
      </c>
      <c r="Q35" s="125">
        <v>58082.2</v>
      </c>
      <c r="R35" s="124">
        <v>0.06</v>
      </c>
      <c r="S35" s="125">
        <v>59068.5</v>
      </c>
      <c r="T35" s="124">
        <v>0.06</v>
      </c>
      <c r="U35" s="125">
        <v>60054.8</v>
      </c>
      <c r="V35" s="124">
        <v>0.06</v>
      </c>
      <c r="W35" s="206">
        <v>63013.7</v>
      </c>
      <c r="X35" s="124">
        <v>0.06</v>
      </c>
      <c r="Y35" s="206">
        <v>64000</v>
      </c>
      <c r="Z35" s="124">
        <v>0.06</v>
      </c>
      <c r="AA35" s="206">
        <v>64986.3</v>
      </c>
      <c r="AB35" s="124">
        <v>0.06</v>
      </c>
      <c r="AC35" s="206">
        <v>65972.61</v>
      </c>
      <c r="AD35" s="124">
        <v>7.0000000000000007E-2</v>
      </c>
      <c r="AE35" s="206">
        <v>66958.91</v>
      </c>
      <c r="AF35" s="124">
        <v>7.0000000000000007E-2</v>
      </c>
      <c r="AG35" s="206">
        <v>69917.81</v>
      </c>
      <c r="AH35" s="124">
        <v>7.0000000000000007E-2</v>
      </c>
      <c r="AI35" s="206">
        <v>70904.11</v>
      </c>
      <c r="AJ35" s="124">
        <v>7.0000000000000007E-2</v>
      </c>
      <c r="AK35" s="206">
        <v>71890.41</v>
      </c>
      <c r="AL35" s="124">
        <v>7.0000000000000007E-2</v>
      </c>
      <c r="AM35" s="206">
        <v>72876.72</v>
      </c>
      <c r="AN35" s="124">
        <v>7.0000000000000007E-2</v>
      </c>
      <c r="AO35" s="206">
        <v>73863.02</v>
      </c>
      <c r="AP35" s="124">
        <v>7.0000000000000007E-2</v>
      </c>
      <c r="AQ35" s="206">
        <v>76821.919999999998</v>
      </c>
      <c r="AR35" s="124">
        <v>7.0000000000000007E-2</v>
      </c>
      <c r="AS35" s="252">
        <v>77808.22</v>
      </c>
      <c r="AT35" s="124">
        <v>0.08</v>
      </c>
      <c r="AU35" s="56" t="s">
        <v>87</v>
      </c>
    </row>
    <row r="36" spans="1:47">
      <c r="A36" s="122" t="s">
        <v>33</v>
      </c>
      <c r="B36" s="123" t="s">
        <v>57</v>
      </c>
      <c r="C36" s="37"/>
      <c r="D36" s="181"/>
      <c r="E36" s="37"/>
      <c r="F36" s="181"/>
      <c r="G36" s="37"/>
      <c r="H36" s="181"/>
      <c r="I36" s="37"/>
      <c r="J36" s="181"/>
      <c r="K36" s="37"/>
      <c r="L36" s="181"/>
      <c r="M36" s="37"/>
      <c r="N36" s="182"/>
      <c r="O36" s="116"/>
      <c r="P36" s="127"/>
      <c r="Q36" s="116"/>
      <c r="R36" s="127"/>
      <c r="S36" s="116"/>
      <c r="T36" s="127"/>
      <c r="U36" s="116"/>
      <c r="V36" s="127"/>
      <c r="W36" s="116"/>
      <c r="X36" s="127"/>
      <c r="Y36" s="116"/>
      <c r="Z36" s="127"/>
      <c r="AA36" s="116"/>
      <c r="AB36" s="127"/>
      <c r="AC36" s="116"/>
      <c r="AD36" s="127"/>
      <c r="AE36" s="116"/>
      <c r="AF36" s="127"/>
      <c r="AG36" s="116"/>
      <c r="AH36" s="127"/>
      <c r="AI36" s="116"/>
      <c r="AJ36" s="127"/>
      <c r="AK36" s="116"/>
      <c r="AL36" s="127"/>
      <c r="AM36" s="116"/>
      <c r="AN36" s="127"/>
      <c r="AO36" s="116"/>
      <c r="AP36" s="127"/>
      <c r="AQ36" s="116"/>
      <c r="AR36" s="127"/>
      <c r="AS36" s="116"/>
      <c r="AT36" s="127"/>
    </row>
    <row r="37" spans="1:47">
      <c r="A37" s="122" t="s">
        <v>29</v>
      </c>
      <c r="B37" s="123" t="s">
        <v>57</v>
      </c>
      <c r="C37" s="39"/>
      <c r="D37" s="181"/>
      <c r="E37" s="39"/>
      <c r="F37" s="181"/>
      <c r="G37" s="39"/>
      <c r="H37" s="181"/>
      <c r="I37" s="39"/>
      <c r="J37" s="181"/>
      <c r="K37" s="39"/>
      <c r="L37" s="181"/>
      <c r="M37" s="39"/>
      <c r="N37" s="182"/>
      <c r="O37" s="128"/>
      <c r="P37" s="127"/>
      <c r="Q37" s="128"/>
      <c r="R37" s="127"/>
      <c r="S37" s="128"/>
      <c r="T37" s="127"/>
      <c r="U37" s="128"/>
      <c r="V37" s="127"/>
      <c r="W37" s="128"/>
      <c r="X37" s="127"/>
      <c r="Y37" s="128"/>
      <c r="Z37" s="127"/>
      <c r="AA37" s="128"/>
      <c r="AB37" s="127"/>
      <c r="AC37" s="128"/>
      <c r="AD37" s="127"/>
      <c r="AE37" s="128"/>
      <c r="AF37" s="127"/>
      <c r="AG37" s="128"/>
      <c r="AH37" s="127"/>
      <c r="AI37" s="217">
        <v>86106.96</v>
      </c>
      <c r="AJ37" s="124">
        <v>0.09</v>
      </c>
      <c r="AK37" s="217">
        <v>86106.96</v>
      </c>
      <c r="AL37" s="124">
        <v>0.09</v>
      </c>
      <c r="AM37" s="217">
        <v>86106.96</v>
      </c>
      <c r="AN37" s="124">
        <v>0.09</v>
      </c>
      <c r="AO37" s="217">
        <v>86106.96</v>
      </c>
      <c r="AP37" s="124">
        <v>0.09</v>
      </c>
      <c r="AQ37" s="217">
        <v>86106.96</v>
      </c>
      <c r="AR37" s="124">
        <v>0.09</v>
      </c>
      <c r="AS37" s="248">
        <v>86106.96</v>
      </c>
      <c r="AT37" s="124">
        <v>0.09</v>
      </c>
      <c r="AU37" s="56" t="s">
        <v>90</v>
      </c>
    </row>
    <row r="38" spans="1:47">
      <c r="A38" s="122" t="s">
        <v>37</v>
      </c>
      <c r="B38" s="123" t="s">
        <v>57</v>
      </c>
      <c r="C38" s="37"/>
      <c r="D38" s="181"/>
      <c r="E38" s="37"/>
      <c r="F38" s="181"/>
      <c r="G38" s="37"/>
      <c r="H38" s="181"/>
      <c r="I38" s="37"/>
      <c r="J38" s="181"/>
      <c r="K38" s="37"/>
      <c r="L38" s="181"/>
      <c r="M38" s="37"/>
      <c r="N38" s="182"/>
      <c r="O38" s="116"/>
      <c r="P38" s="127"/>
      <c r="Q38" s="116"/>
      <c r="R38" s="127"/>
      <c r="S38" s="116"/>
      <c r="T38" s="127"/>
      <c r="U38" s="116"/>
      <c r="V38" s="127"/>
      <c r="W38" s="116"/>
      <c r="X38" s="127"/>
      <c r="Y38" s="116"/>
      <c r="Z38" s="127"/>
      <c r="AA38" s="116"/>
      <c r="AB38" s="127"/>
      <c r="AC38" s="116"/>
      <c r="AD38" s="127"/>
      <c r="AE38" s="116"/>
      <c r="AF38" s="127"/>
      <c r="AG38" s="116"/>
      <c r="AH38" s="127"/>
      <c r="AI38" s="116"/>
      <c r="AJ38" s="127"/>
      <c r="AK38" s="116"/>
      <c r="AL38" s="127"/>
      <c r="AM38" s="116"/>
      <c r="AN38" s="127"/>
      <c r="AO38" s="116"/>
      <c r="AP38" s="127"/>
      <c r="AQ38" s="116"/>
      <c r="AR38" s="127"/>
      <c r="AS38" s="116"/>
      <c r="AT38" s="127"/>
    </row>
    <row r="39" spans="1:47">
      <c r="A39" s="122" t="s">
        <v>68</v>
      </c>
      <c r="B39" s="123" t="s">
        <v>57</v>
      </c>
      <c r="C39" s="39"/>
      <c r="D39" s="181"/>
      <c r="E39" s="39"/>
      <c r="F39" s="181"/>
      <c r="G39" s="39"/>
      <c r="H39" s="181"/>
      <c r="I39" s="39"/>
      <c r="J39" s="181"/>
      <c r="K39" s="39"/>
      <c r="L39" s="181"/>
      <c r="M39" s="39"/>
      <c r="N39" s="182"/>
      <c r="O39" s="128"/>
      <c r="P39" s="127"/>
      <c r="Q39" s="128"/>
      <c r="R39" s="127"/>
      <c r="S39" s="128"/>
      <c r="T39" s="127"/>
      <c r="U39" s="128"/>
      <c r="V39" s="127"/>
      <c r="W39" s="128"/>
      <c r="X39" s="127"/>
      <c r="Y39" s="128"/>
      <c r="Z39" s="127"/>
      <c r="AA39" s="128"/>
      <c r="AB39" s="127"/>
      <c r="AC39" s="128"/>
      <c r="AD39" s="127"/>
      <c r="AE39" s="128"/>
      <c r="AF39" s="127"/>
      <c r="AG39" s="128"/>
      <c r="AH39" s="127"/>
      <c r="AI39" s="128"/>
      <c r="AJ39" s="127"/>
      <c r="AK39" s="128"/>
      <c r="AL39" s="127"/>
      <c r="AM39" s="128"/>
      <c r="AN39" s="127"/>
      <c r="AO39" s="128"/>
      <c r="AP39" s="127"/>
      <c r="AQ39" s="128"/>
      <c r="AR39" s="127"/>
      <c r="AS39" s="128"/>
      <c r="AT39" s="127"/>
    </row>
    <row r="40" spans="1:47">
      <c r="A40" s="129" t="s">
        <v>69</v>
      </c>
      <c r="B40" s="123" t="s">
        <v>57</v>
      </c>
      <c r="C40" s="40">
        <v>255553</v>
      </c>
      <c r="D40" s="178">
        <v>0.25</v>
      </c>
      <c r="E40" s="40">
        <v>255553</v>
      </c>
      <c r="F40" s="178">
        <v>0.25</v>
      </c>
      <c r="G40" s="40">
        <v>255553</v>
      </c>
      <c r="H40" s="178">
        <v>0.25</v>
      </c>
      <c r="I40" s="40">
        <v>255553</v>
      </c>
      <c r="J40" s="178">
        <v>0.25</v>
      </c>
      <c r="K40" s="40">
        <v>255553</v>
      </c>
      <c r="L40" s="178">
        <v>0.25</v>
      </c>
      <c r="M40" s="40">
        <v>255553</v>
      </c>
      <c r="N40" s="180">
        <v>0.25</v>
      </c>
      <c r="O40" s="130">
        <v>255553</v>
      </c>
      <c r="P40" s="124">
        <v>0.25</v>
      </c>
      <c r="Q40" s="130">
        <v>255553</v>
      </c>
      <c r="R40" s="124">
        <v>0.25</v>
      </c>
      <c r="S40" s="130">
        <v>255553</v>
      </c>
      <c r="T40" s="124">
        <v>0.25</v>
      </c>
      <c r="U40" s="130">
        <v>255553</v>
      </c>
      <c r="V40" s="124">
        <v>0.25</v>
      </c>
      <c r="W40" s="207">
        <v>255086.66</v>
      </c>
      <c r="X40" s="124">
        <v>0.25</v>
      </c>
      <c r="Y40" s="209">
        <v>254853.49</v>
      </c>
      <c r="Z40" s="124">
        <v>0.25</v>
      </c>
      <c r="AA40" s="209">
        <v>254620.32</v>
      </c>
      <c r="AB40" s="124">
        <v>0.25</v>
      </c>
      <c r="AC40" s="209">
        <v>254387.16</v>
      </c>
      <c r="AD40" s="124">
        <v>0.25</v>
      </c>
      <c r="AE40" s="209">
        <v>254153.99</v>
      </c>
      <c r="AF40" s="124">
        <v>0.25</v>
      </c>
      <c r="AG40" s="209">
        <v>253454.48</v>
      </c>
      <c r="AH40" s="124">
        <v>0.25</v>
      </c>
      <c r="AI40" s="209">
        <v>253221.31</v>
      </c>
      <c r="AJ40" s="124">
        <v>0.25</v>
      </c>
      <c r="AK40" s="209">
        <v>252988.14</v>
      </c>
      <c r="AL40" s="124">
        <v>0.25</v>
      </c>
      <c r="AM40" s="209">
        <v>252754.97</v>
      </c>
      <c r="AN40" s="124">
        <v>0.25</v>
      </c>
      <c r="AO40" s="209">
        <v>252521.81</v>
      </c>
      <c r="AP40" s="124">
        <v>0.25</v>
      </c>
      <c r="AQ40" s="209">
        <v>251822.3</v>
      </c>
      <c r="AR40" s="124">
        <v>0.25</v>
      </c>
      <c r="AS40" s="251">
        <v>251589.13</v>
      </c>
      <c r="AT40" s="124">
        <v>0.25</v>
      </c>
      <c r="AU40" s="56" t="s">
        <v>88</v>
      </c>
    </row>
    <row r="41" spans="1:47" ht="47.25">
      <c r="A41" s="122" t="s">
        <v>70</v>
      </c>
      <c r="B41" s="123" t="s">
        <v>76</v>
      </c>
      <c r="C41" s="41">
        <v>3303400</v>
      </c>
      <c r="D41" s="178">
        <v>3.26</v>
      </c>
      <c r="E41" s="41">
        <v>3320000</v>
      </c>
      <c r="F41" s="178">
        <v>3.27</v>
      </c>
      <c r="G41" s="41">
        <v>3320000</v>
      </c>
      <c r="H41" s="178">
        <v>3.27</v>
      </c>
      <c r="I41" s="41">
        <v>3320000</v>
      </c>
      <c r="J41" s="178">
        <v>3.27</v>
      </c>
      <c r="K41" s="41">
        <v>3320000</v>
      </c>
      <c r="L41" s="178">
        <v>3.28</v>
      </c>
      <c r="M41" s="41">
        <v>3320000</v>
      </c>
      <c r="N41" s="180">
        <v>3.28</v>
      </c>
      <c r="O41" s="118">
        <v>3320000</v>
      </c>
      <c r="P41" s="124">
        <v>3.28</v>
      </c>
      <c r="Q41" s="118">
        <v>3320000</v>
      </c>
      <c r="R41" s="124">
        <v>3.28</v>
      </c>
      <c r="S41" s="118">
        <v>3320000</v>
      </c>
      <c r="T41" s="124">
        <v>3.28</v>
      </c>
      <c r="U41" s="118">
        <v>3320000</v>
      </c>
      <c r="V41" s="124">
        <v>3.27</v>
      </c>
      <c r="W41" s="118">
        <v>3320000</v>
      </c>
      <c r="X41" s="124">
        <v>3.27</v>
      </c>
      <c r="Y41" s="118">
        <v>3320000</v>
      </c>
      <c r="Z41" s="124">
        <v>3.27</v>
      </c>
      <c r="AA41" s="118">
        <v>3320000</v>
      </c>
      <c r="AB41" s="124">
        <v>3.27</v>
      </c>
      <c r="AC41" s="118">
        <v>3320000</v>
      </c>
      <c r="AD41" s="124">
        <v>3.27</v>
      </c>
      <c r="AE41" s="118">
        <v>3320000</v>
      </c>
      <c r="AF41" s="124">
        <v>3.27</v>
      </c>
      <c r="AG41" s="118">
        <v>3320000</v>
      </c>
      <c r="AH41" s="124">
        <v>3.26</v>
      </c>
      <c r="AI41" s="118">
        <v>3320000</v>
      </c>
      <c r="AJ41" s="124">
        <v>3.26</v>
      </c>
      <c r="AK41" s="118">
        <v>3320000</v>
      </c>
      <c r="AL41" s="124">
        <v>3.26</v>
      </c>
      <c r="AM41" s="118">
        <v>3320000</v>
      </c>
      <c r="AN41" s="124">
        <v>3.26</v>
      </c>
      <c r="AO41" s="118">
        <v>3320000</v>
      </c>
      <c r="AP41" s="124">
        <v>3.26</v>
      </c>
      <c r="AQ41" s="118">
        <v>3320000</v>
      </c>
      <c r="AR41" s="124">
        <v>3.26</v>
      </c>
      <c r="AS41" s="118">
        <v>3320000</v>
      </c>
      <c r="AT41" s="124">
        <v>3.26</v>
      </c>
      <c r="AU41" s="56">
        <v>3320000</v>
      </c>
    </row>
    <row r="42" spans="1:47" ht="47.25">
      <c r="A42" s="122" t="s">
        <v>71</v>
      </c>
      <c r="B42" s="123" t="s">
        <v>57</v>
      </c>
      <c r="C42" s="37"/>
      <c r="D42" s="181"/>
      <c r="E42" s="37"/>
      <c r="F42" s="181"/>
      <c r="G42" s="37"/>
      <c r="H42" s="181"/>
      <c r="I42" s="37"/>
      <c r="J42" s="181"/>
      <c r="K42" s="37"/>
      <c r="L42" s="181"/>
      <c r="M42" s="37"/>
      <c r="N42" s="182"/>
      <c r="O42" s="116"/>
      <c r="P42" s="127"/>
      <c r="Q42" s="116"/>
      <c r="R42" s="127"/>
      <c r="S42" s="116"/>
      <c r="T42" s="127"/>
      <c r="U42" s="116"/>
      <c r="V42" s="127"/>
      <c r="W42" s="116"/>
      <c r="X42" s="127"/>
      <c r="Y42" s="116"/>
      <c r="Z42" s="127"/>
      <c r="AA42" s="116"/>
      <c r="AB42" s="127"/>
      <c r="AC42" s="116"/>
      <c r="AD42" s="127"/>
      <c r="AE42" s="116"/>
      <c r="AF42" s="127"/>
      <c r="AG42" s="116"/>
      <c r="AH42" s="127"/>
      <c r="AI42" s="116"/>
      <c r="AJ42" s="127"/>
      <c r="AK42" s="116"/>
      <c r="AL42" s="127"/>
      <c r="AM42" s="116"/>
      <c r="AN42" s="127"/>
      <c r="AO42" s="116"/>
      <c r="AP42" s="127"/>
      <c r="AQ42" s="116"/>
      <c r="AR42" s="127"/>
      <c r="AS42" s="116"/>
      <c r="AT42" s="127"/>
    </row>
    <row r="43" spans="1:47" ht="16.5" thickBot="1">
      <c r="A43" s="122" t="s">
        <v>49</v>
      </c>
      <c r="B43" s="123" t="s">
        <v>50</v>
      </c>
      <c r="C43" s="42">
        <v>10327</v>
      </c>
      <c r="D43" s="178">
        <v>0.01</v>
      </c>
      <c r="E43" s="42">
        <v>10327</v>
      </c>
      <c r="F43" s="178">
        <v>0.01</v>
      </c>
      <c r="G43" s="46">
        <v>10377</v>
      </c>
      <c r="H43" s="178">
        <v>0.01</v>
      </c>
      <c r="I43" s="46">
        <v>10377</v>
      </c>
      <c r="J43" s="178">
        <v>0.01</v>
      </c>
      <c r="K43" s="46">
        <v>10377</v>
      </c>
      <c r="L43" s="178">
        <v>0.01</v>
      </c>
      <c r="M43" s="50">
        <v>10604.36</v>
      </c>
      <c r="N43" s="180">
        <v>0.01</v>
      </c>
      <c r="O43" s="198">
        <v>10604.36</v>
      </c>
      <c r="P43" s="124">
        <v>0.01</v>
      </c>
      <c r="Q43" s="198">
        <v>10604.36</v>
      </c>
      <c r="R43" s="124">
        <v>0.01</v>
      </c>
      <c r="S43" s="198">
        <v>10604.36</v>
      </c>
      <c r="T43" s="124">
        <v>0.01</v>
      </c>
      <c r="U43" s="198">
        <v>10604.36</v>
      </c>
      <c r="V43" s="124">
        <v>0.01</v>
      </c>
      <c r="W43" s="198">
        <v>10604.36</v>
      </c>
      <c r="X43" s="124">
        <v>0.01</v>
      </c>
      <c r="Y43" s="198">
        <v>10604.36</v>
      </c>
      <c r="Z43" s="124">
        <v>0.01</v>
      </c>
      <c r="AA43" s="198">
        <v>11762.66</v>
      </c>
      <c r="AB43" s="124">
        <v>0.01</v>
      </c>
      <c r="AC43" s="198">
        <v>11762.66</v>
      </c>
      <c r="AD43" s="124">
        <v>0.01</v>
      </c>
      <c r="AE43" s="198">
        <v>11762.66</v>
      </c>
      <c r="AF43" s="124">
        <v>0.01</v>
      </c>
      <c r="AG43" s="198">
        <v>11762.66</v>
      </c>
      <c r="AH43" s="124">
        <v>0.01</v>
      </c>
      <c r="AI43" s="198">
        <v>11762.66</v>
      </c>
      <c r="AJ43" s="124">
        <v>0.01</v>
      </c>
      <c r="AK43" s="218">
        <v>18362.66</v>
      </c>
      <c r="AL43" s="124">
        <v>0.01</v>
      </c>
      <c r="AM43" s="218">
        <v>18362.66</v>
      </c>
      <c r="AN43" s="124">
        <v>0.01</v>
      </c>
      <c r="AO43" s="218">
        <v>18362.66</v>
      </c>
      <c r="AP43" s="124">
        <v>0.02</v>
      </c>
      <c r="AQ43" s="218">
        <v>18362.66</v>
      </c>
      <c r="AR43" s="124">
        <v>0.02</v>
      </c>
      <c r="AS43" s="250">
        <v>11341.94</v>
      </c>
      <c r="AT43" s="124">
        <v>0.01</v>
      </c>
      <c r="AU43" s="56" t="s">
        <v>84</v>
      </c>
    </row>
    <row r="44" spans="1:47" ht="47.25">
      <c r="A44" s="122" t="s">
        <v>56</v>
      </c>
      <c r="B44" s="123" t="s">
        <v>77</v>
      </c>
      <c r="C44" s="38">
        <v>9262.82</v>
      </c>
      <c r="D44" s="178">
        <v>0.01</v>
      </c>
      <c r="E44" s="38">
        <v>9262.82</v>
      </c>
      <c r="F44" s="178">
        <v>0.01</v>
      </c>
      <c r="G44" s="38">
        <v>9262.82</v>
      </c>
      <c r="H44" s="178">
        <v>0.01</v>
      </c>
      <c r="I44" s="38">
        <v>9262.82</v>
      </c>
      <c r="J44" s="178">
        <v>0.01</v>
      </c>
      <c r="K44" s="38">
        <v>9262.82</v>
      </c>
      <c r="L44" s="178">
        <v>0.01</v>
      </c>
      <c r="M44" s="38">
        <v>9262.82</v>
      </c>
      <c r="N44" s="180">
        <v>0.01</v>
      </c>
      <c r="O44" s="131">
        <v>9262.82</v>
      </c>
      <c r="P44" s="124">
        <v>0.01</v>
      </c>
      <c r="Q44" s="131">
        <v>9262.82</v>
      </c>
      <c r="R44" s="124">
        <v>0.01</v>
      </c>
      <c r="S44" s="131">
        <v>9262.82</v>
      </c>
      <c r="T44" s="124">
        <v>0.01</v>
      </c>
      <c r="U44" s="131">
        <v>9262.82</v>
      </c>
      <c r="V44" s="124">
        <v>0.01</v>
      </c>
      <c r="W44" s="131">
        <v>9262.82</v>
      </c>
      <c r="X44" s="124">
        <v>0.01</v>
      </c>
      <c r="Y44" s="131">
        <v>9262.82</v>
      </c>
      <c r="Z44" s="124">
        <v>0.01</v>
      </c>
      <c r="AA44" s="211">
        <v>15369.43</v>
      </c>
      <c r="AB44" s="124">
        <v>0.02</v>
      </c>
      <c r="AC44" s="211">
        <v>15369.43</v>
      </c>
      <c r="AD44" s="124">
        <v>0.02</v>
      </c>
      <c r="AE44" s="211">
        <v>15369.43</v>
      </c>
      <c r="AF44" s="124">
        <v>0.02</v>
      </c>
      <c r="AG44" s="211">
        <v>15369.43</v>
      </c>
      <c r="AH44" s="124">
        <v>0.02</v>
      </c>
      <c r="AI44" s="211">
        <v>15369.43</v>
      </c>
      <c r="AJ44" s="124">
        <v>0.02</v>
      </c>
      <c r="AK44" s="211">
        <v>15369.43</v>
      </c>
      <c r="AL44" s="124">
        <v>0.02</v>
      </c>
      <c r="AM44" s="211">
        <v>15369.43</v>
      </c>
      <c r="AN44" s="124">
        <v>0.02</v>
      </c>
      <c r="AO44" s="211">
        <v>15369.43</v>
      </c>
      <c r="AP44" s="124">
        <v>0.02</v>
      </c>
      <c r="AQ44" s="211">
        <v>15369.43</v>
      </c>
      <c r="AR44" s="124">
        <v>0.02</v>
      </c>
      <c r="AS44" s="251">
        <v>10086.299999999999</v>
      </c>
      <c r="AT44" s="124">
        <v>0.01</v>
      </c>
      <c r="AU44" s="56" t="s">
        <v>86</v>
      </c>
    </row>
    <row r="45" spans="1:47" ht="78.75">
      <c r="A45" s="132" t="s">
        <v>72</v>
      </c>
      <c r="B45" s="123" t="s">
        <v>78</v>
      </c>
      <c r="C45" s="38">
        <v>518.65</v>
      </c>
      <c r="D45" s="178">
        <v>0</v>
      </c>
      <c r="E45" s="38">
        <v>518.65</v>
      </c>
      <c r="F45" s="178">
        <v>0</v>
      </c>
      <c r="G45" s="38">
        <v>518.65</v>
      </c>
      <c r="H45" s="178">
        <v>0</v>
      </c>
      <c r="I45" s="38">
        <v>518.65</v>
      </c>
      <c r="J45" s="178">
        <v>0</v>
      </c>
      <c r="K45" s="38">
        <v>518.65</v>
      </c>
      <c r="L45" s="178">
        <v>0</v>
      </c>
      <c r="M45" s="51">
        <v>1882.79</v>
      </c>
      <c r="N45" s="180">
        <v>0</v>
      </c>
      <c r="O45" s="196">
        <v>1882.79</v>
      </c>
      <c r="P45" s="197">
        <v>0</v>
      </c>
      <c r="Q45" s="196">
        <v>1882.79</v>
      </c>
      <c r="R45" s="124">
        <v>0</v>
      </c>
      <c r="S45" s="196">
        <v>1882.79</v>
      </c>
      <c r="T45" s="124">
        <v>0</v>
      </c>
      <c r="U45" s="196">
        <v>1882.79</v>
      </c>
      <c r="V45" s="124">
        <v>0</v>
      </c>
      <c r="W45" s="196">
        <v>1882.79</v>
      </c>
      <c r="X45" s="124">
        <v>0</v>
      </c>
      <c r="Y45" s="196">
        <v>1882.79</v>
      </c>
      <c r="Z45" s="124">
        <v>0</v>
      </c>
      <c r="AA45" s="196">
        <v>2725.97</v>
      </c>
      <c r="AB45" s="124">
        <v>0</v>
      </c>
      <c r="AC45" s="196">
        <v>2725.97</v>
      </c>
      <c r="AD45" s="124">
        <v>0</v>
      </c>
      <c r="AE45" s="196">
        <v>2725.97</v>
      </c>
      <c r="AF45" s="124">
        <v>0</v>
      </c>
      <c r="AG45" s="196">
        <v>2725.97</v>
      </c>
      <c r="AH45" s="124">
        <v>0</v>
      </c>
      <c r="AI45" s="196">
        <v>2725.97</v>
      </c>
      <c r="AJ45" s="124">
        <v>0</v>
      </c>
      <c r="AK45" s="196">
        <v>2725.97</v>
      </c>
      <c r="AL45" s="124">
        <v>0</v>
      </c>
      <c r="AM45" s="196">
        <v>2725.97</v>
      </c>
      <c r="AN45" s="124">
        <v>0</v>
      </c>
      <c r="AO45" s="196">
        <v>2725.97</v>
      </c>
      <c r="AP45" s="124">
        <v>0</v>
      </c>
      <c r="AQ45" s="196">
        <v>2725.97</v>
      </c>
      <c r="AR45" s="124">
        <v>0</v>
      </c>
      <c r="AS45" s="251">
        <v>1399.95</v>
      </c>
      <c r="AT45" s="124">
        <v>0</v>
      </c>
      <c r="AU45" s="56" t="s">
        <v>85</v>
      </c>
    </row>
    <row r="46" spans="1:47" ht="31.5">
      <c r="A46" s="132" t="s">
        <v>51</v>
      </c>
      <c r="B46" s="123" t="s">
        <v>52</v>
      </c>
      <c r="C46" s="41">
        <v>6763.13</v>
      </c>
      <c r="D46" s="178">
        <v>0.01</v>
      </c>
      <c r="E46" s="41">
        <v>6797.12</v>
      </c>
      <c r="F46" s="178">
        <v>0.01</v>
      </c>
      <c r="G46" s="41">
        <v>6797.12</v>
      </c>
      <c r="H46" s="178">
        <v>0.01</v>
      </c>
      <c r="I46" s="41">
        <v>6797.12</v>
      </c>
      <c r="J46" s="178">
        <v>0.01</v>
      </c>
      <c r="K46" s="41">
        <v>6797.12</v>
      </c>
      <c r="L46" s="178">
        <v>0.01</v>
      </c>
      <c r="M46" s="37"/>
      <c r="N46" s="182"/>
      <c r="O46" s="116"/>
      <c r="P46" s="127"/>
      <c r="Q46" s="116"/>
      <c r="R46" s="127"/>
      <c r="S46" s="116"/>
      <c r="T46" s="127"/>
      <c r="U46" s="116"/>
      <c r="V46" s="127"/>
      <c r="W46" s="116"/>
      <c r="X46" s="127"/>
      <c r="Y46" s="116"/>
      <c r="Z46" s="127"/>
      <c r="AA46" s="116"/>
      <c r="AB46" s="127"/>
      <c r="AC46" s="116"/>
      <c r="AD46" s="127"/>
      <c r="AE46" s="116"/>
      <c r="AF46" s="127"/>
      <c r="AG46" s="116"/>
      <c r="AH46" s="127"/>
      <c r="AI46" s="116"/>
      <c r="AJ46" s="127"/>
      <c r="AK46" s="116"/>
      <c r="AL46" s="127"/>
      <c r="AM46" s="116"/>
      <c r="AN46" s="127"/>
      <c r="AO46" s="116"/>
      <c r="AP46" s="127"/>
      <c r="AQ46" s="116"/>
      <c r="AR46" s="127"/>
      <c r="AS46" s="237">
        <v>6780.8</v>
      </c>
      <c r="AT46" s="124">
        <v>0.01</v>
      </c>
      <c r="AU46" s="56" t="s">
        <v>91</v>
      </c>
    </row>
    <row r="47" spans="1:47" ht="31.5">
      <c r="A47" s="133" t="s">
        <v>73</v>
      </c>
      <c r="B47" s="134" t="s">
        <v>53</v>
      </c>
      <c r="C47" s="41">
        <v>53243.060000000005</v>
      </c>
      <c r="D47" s="178">
        <v>0.05</v>
      </c>
      <c r="E47" s="41">
        <v>53510.62</v>
      </c>
      <c r="F47" s="178">
        <v>0.05</v>
      </c>
      <c r="G47" s="41">
        <v>53510.62</v>
      </c>
      <c r="H47" s="178">
        <v>0.05</v>
      </c>
      <c r="I47" s="41">
        <v>53510.62</v>
      </c>
      <c r="J47" s="178">
        <v>0.05</v>
      </c>
      <c r="K47" s="41">
        <v>53510.62</v>
      </c>
      <c r="L47" s="178">
        <v>0.05</v>
      </c>
      <c r="M47" s="41">
        <v>53510.62</v>
      </c>
      <c r="N47" s="180">
        <v>0.05</v>
      </c>
      <c r="O47" s="118">
        <v>53510.62</v>
      </c>
      <c r="P47" s="124">
        <v>0.05</v>
      </c>
      <c r="Q47" s="118">
        <v>53510.62</v>
      </c>
      <c r="R47" s="124">
        <v>0.05</v>
      </c>
      <c r="S47" s="118">
        <v>53510.62</v>
      </c>
      <c r="T47" s="124">
        <v>0.06</v>
      </c>
      <c r="U47" s="118">
        <v>53510.62</v>
      </c>
      <c r="V47" s="124">
        <v>0.06</v>
      </c>
      <c r="W47" s="118">
        <v>53510.62</v>
      </c>
      <c r="X47" s="124">
        <v>0.05</v>
      </c>
      <c r="Y47" s="118">
        <v>53510.62</v>
      </c>
      <c r="Z47" s="124">
        <v>0.05</v>
      </c>
      <c r="AA47" s="118">
        <v>53510.62</v>
      </c>
      <c r="AB47" s="124">
        <v>0.05</v>
      </c>
      <c r="AC47" s="118">
        <v>53510.62</v>
      </c>
      <c r="AD47" s="124">
        <v>0.05</v>
      </c>
      <c r="AE47" s="118">
        <v>53510.62</v>
      </c>
      <c r="AF47" s="124">
        <v>0.05</v>
      </c>
      <c r="AG47" s="118">
        <v>53510.62</v>
      </c>
      <c r="AH47" s="124">
        <v>0.05</v>
      </c>
      <c r="AI47" s="118">
        <v>53510.62</v>
      </c>
      <c r="AJ47" s="124">
        <v>0.05</v>
      </c>
      <c r="AK47" s="118">
        <v>53510.62</v>
      </c>
      <c r="AL47" s="124">
        <v>0.05</v>
      </c>
      <c r="AM47" s="116"/>
      <c r="AN47" s="127"/>
      <c r="AO47" s="116"/>
      <c r="AP47" s="127"/>
      <c r="AQ47" s="116"/>
      <c r="AR47" s="127"/>
      <c r="AS47" s="237">
        <v>61220.68</v>
      </c>
      <c r="AT47" s="124">
        <v>0.06</v>
      </c>
    </row>
    <row r="48" spans="1:47" ht="31.5">
      <c r="A48" s="122" t="s">
        <v>54</v>
      </c>
      <c r="B48" s="123" t="s">
        <v>79</v>
      </c>
      <c r="C48" s="41">
        <v>3052.7999999999997</v>
      </c>
      <c r="D48" s="178">
        <v>0</v>
      </c>
      <c r="E48" s="41">
        <v>3068.14</v>
      </c>
      <c r="F48" s="178">
        <v>0</v>
      </c>
      <c r="G48" s="41">
        <v>3068.14</v>
      </c>
      <c r="H48" s="178">
        <v>0</v>
      </c>
      <c r="I48" s="41">
        <v>3068.14</v>
      </c>
      <c r="J48" s="178">
        <v>0</v>
      </c>
      <c r="K48" s="41">
        <v>3068.14</v>
      </c>
      <c r="L48" s="178">
        <v>0</v>
      </c>
      <c r="M48" s="41">
        <v>3068.14</v>
      </c>
      <c r="N48" s="180">
        <v>0</v>
      </c>
      <c r="O48" s="118">
        <v>3068.14</v>
      </c>
      <c r="P48" s="124">
        <v>0</v>
      </c>
      <c r="Q48" s="118">
        <v>3068.14</v>
      </c>
      <c r="R48" s="124">
        <v>0</v>
      </c>
      <c r="S48" s="118">
        <v>3068.14</v>
      </c>
      <c r="T48" s="124">
        <v>0</v>
      </c>
      <c r="U48" s="118">
        <v>3068.14</v>
      </c>
      <c r="V48" s="124">
        <v>0</v>
      </c>
      <c r="W48" s="118">
        <v>3068.14</v>
      </c>
      <c r="X48" s="124">
        <v>0</v>
      </c>
      <c r="Y48" s="136"/>
      <c r="Z48" s="127"/>
      <c r="AA48" s="136"/>
      <c r="AB48" s="127"/>
      <c r="AC48" s="136"/>
      <c r="AD48" s="127"/>
      <c r="AE48" s="136"/>
      <c r="AF48" s="127"/>
      <c r="AG48" s="136"/>
      <c r="AH48" s="127"/>
      <c r="AI48" s="136"/>
      <c r="AJ48" s="127"/>
      <c r="AK48" s="136"/>
      <c r="AL48" s="127"/>
      <c r="AM48" s="136"/>
      <c r="AN48" s="127"/>
      <c r="AO48" s="136"/>
      <c r="AP48" s="127"/>
      <c r="AQ48" s="136"/>
      <c r="AR48" s="127"/>
      <c r="AS48" s="254">
        <v>2753.83</v>
      </c>
      <c r="AT48" s="124"/>
      <c r="AU48" s="56" t="s">
        <v>92</v>
      </c>
    </row>
    <row r="49" spans="1:47" ht="32.25" thickBot="1">
      <c r="A49" s="135" t="s">
        <v>55</v>
      </c>
      <c r="B49" s="223" t="s">
        <v>80</v>
      </c>
      <c r="C49" s="43"/>
      <c r="D49" s="181"/>
      <c r="E49" s="43"/>
      <c r="F49" s="181"/>
      <c r="G49" s="43"/>
      <c r="H49" s="181"/>
      <c r="I49" s="43"/>
      <c r="J49" s="181"/>
      <c r="K49" s="43"/>
      <c r="L49" s="181"/>
      <c r="M49" s="43"/>
      <c r="N49" s="182"/>
      <c r="O49" s="136"/>
      <c r="P49" s="127"/>
      <c r="Q49" s="136"/>
      <c r="R49" s="127"/>
      <c r="S49" s="136"/>
      <c r="T49" s="127"/>
      <c r="U49" s="136"/>
      <c r="V49" s="127"/>
      <c r="W49" s="136"/>
      <c r="X49" s="127"/>
      <c r="Y49" s="136"/>
      <c r="Z49" s="127"/>
      <c r="AA49" s="136"/>
      <c r="AB49" s="127"/>
      <c r="AC49" s="136"/>
      <c r="AD49" s="127"/>
      <c r="AE49" s="136"/>
      <c r="AF49" s="127"/>
      <c r="AG49" s="136"/>
      <c r="AH49" s="127"/>
      <c r="AI49" s="136"/>
      <c r="AJ49" s="127"/>
      <c r="AK49" s="136"/>
      <c r="AL49" s="127"/>
      <c r="AM49" s="136"/>
      <c r="AN49" s="127"/>
      <c r="AO49" s="136"/>
      <c r="AP49" s="127"/>
      <c r="AQ49" s="136"/>
      <c r="AR49" s="127"/>
      <c r="AS49" s="253">
        <v>455.5</v>
      </c>
      <c r="AT49" s="124"/>
      <c r="AU49" s="56" t="s">
        <v>93</v>
      </c>
    </row>
    <row r="50" spans="1:47" ht="60.75" thickBot="1">
      <c r="A50" s="221" t="s">
        <v>82</v>
      </c>
      <c r="B50" s="222" t="s">
        <v>81</v>
      </c>
      <c r="C50" s="54"/>
      <c r="D50" s="183"/>
      <c r="E50" s="54"/>
      <c r="F50" s="183"/>
      <c r="G50" s="54"/>
      <c r="H50" s="183"/>
      <c r="I50" s="54"/>
      <c r="J50" s="183"/>
      <c r="K50" s="54"/>
      <c r="L50" s="183"/>
      <c r="M50" s="54"/>
      <c r="N50" s="184"/>
      <c r="O50" s="125">
        <v>767.12</v>
      </c>
      <c r="P50" s="124"/>
      <c r="Q50" s="125">
        <v>1534.25</v>
      </c>
      <c r="R50" s="124"/>
      <c r="S50" s="125">
        <v>2301.37</v>
      </c>
      <c r="T50" s="124"/>
      <c r="U50" s="206">
        <v>3068.49</v>
      </c>
      <c r="V50" s="124"/>
      <c r="W50" s="206">
        <v>5369.86</v>
      </c>
      <c r="X50" s="124">
        <v>0.01</v>
      </c>
      <c r="Y50" s="206">
        <v>6136.99</v>
      </c>
      <c r="Z50" s="124">
        <v>0.01</v>
      </c>
      <c r="AA50" s="206">
        <v>6904.11</v>
      </c>
      <c r="AB50" s="124">
        <v>0.01</v>
      </c>
      <c r="AC50" s="206">
        <v>7671.23</v>
      </c>
      <c r="AD50" s="124">
        <v>0.01</v>
      </c>
      <c r="AE50" s="206">
        <v>8438.36</v>
      </c>
      <c r="AF50" s="124">
        <v>0.01</v>
      </c>
      <c r="AG50" s="206">
        <v>10739.73</v>
      </c>
      <c r="AH50" s="124">
        <v>0.01</v>
      </c>
      <c r="AI50" s="206">
        <v>11506.85</v>
      </c>
      <c r="AJ50" s="124">
        <v>0.01</v>
      </c>
      <c r="AK50" s="206">
        <v>12273.97</v>
      </c>
      <c r="AL50" s="124">
        <v>0.01</v>
      </c>
      <c r="AM50" s="206">
        <v>13041.1</v>
      </c>
      <c r="AN50" s="124">
        <v>0.01</v>
      </c>
      <c r="AO50" s="206">
        <v>13808.22</v>
      </c>
      <c r="AP50" s="124">
        <v>0.01</v>
      </c>
      <c r="AQ50" s="206">
        <v>16109.59</v>
      </c>
      <c r="AR50" s="124">
        <v>0.01</v>
      </c>
      <c r="AS50" s="252">
        <v>16876.71</v>
      </c>
      <c r="AT50" s="124">
        <v>0.01</v>
      </c>
      <c r="AU50" s="56" t="s">
        <v>89</v>
      </c>
    </row>
    <row r="51" spans="1:47" s="137" customFormat="1" ht="16.5" thickBot="1">
      <c r="A51" s="219" t="s">
        <v>39</v>
      </c>
      <c r="B51" s="220"/>
      <c r="C51" s="55"/>
      <c r="D51" s="185"/>
      <c r="E51" s="55"/>
      <c r="F51" s="185"/>
      <c r="G51" s="55"/>
      <c r="H51" s="185"/>
      <c r="I51" s="55"/>
      <c r="J51" s="183"/>
      <c r="K51" s="54"/>
      <c r="L51" s="183"/>
      <c r="M51" s="54"/>
      <c r="N51" s="184"/>
      <c r="O51" s="138"/>
      <c r="P51" s="117"/>
      <c r="Q51" s="139">
        <v>109680</v>
      </c>
      <c r="R51" s="119">
        <v>0.11</v>
      </c>
      <c r="S51" s="139">
        <v>109680</v>
      </c>
      <c r="T51" s="119">
        <v>0.11</v>
      </c>
      <c r="U51" s="136"/>
      <c r="V51" s="127"/>
      <c r="W51" s="136"/>
      <c r="X51" s="127"/>
      <c r="Y51" s="136"/>
      <c r="Z51" s="127"/>
      <c r="AA51" s="136"/>
      <c r="AB51" s="127"/>
      <c r="AC51" s="136"/>
      <c r="AD51" s="127"/>
      <c r="AE51" s="136"/>
      <c r="AF51" s="127"/>
      <c r="AG51" s="136"/>
      <c r="AH51" s="127"/>
      <c r="AI51" s="136"/>
      <c r="AJ51" s="127"/>
      <c r="AK51" s="136"/>
      <c r="AL51" s="127"/>
      <c r="AM51" s="136"/>
      <c r="AN51" s="127"/>
      <c r="AO51" s="136"/>
      <c r="AP51" s="127"/>
      <c r="AQ51" s="136"/>
      <c r="AR51" s="127"/>
      <c r="AS51" s="136"/>
      <c r="AT51" s="127"/>
    </row>
    <row r="52" spans="1:47" ht="16.5" thickBot="1">
      <c r="A52" s="1018"/>
      <c r="B52" s="1019"/>
      <c r="C52" s="21">
        <f t="shared" ref="C52:N52" si="8">SUM(C34:C49)</f>
        <v>3689353.3399999994</v>
      </c>
      <c r="D52" s="21">
        <f t="shared" si="8"/>
        <v>3.6399999999999988</v>
      </c>
      <c r="E52" s="21">
        <f t="shared" si="8"/>
        <v>3708242.83</v>
      </c>
      <c r="F52" s="21">
        <f t="shared" si="8"/>
        <v>3.649999999999999</v>
      </c>
      <c r="G52" s="21">
        <f t="shared" si="8"/>
        <v>3709579.1300000004</v>
      </c>
      <c r="H52" s="21">
        <f t="shared" si="8"/>
        <v>3.649999999999999</v>
      </c>
      <c r="I52" s="21">
        <f t="shared" si="8"/>
        <v>3711551.73</v>
      </c>
      <c r="J52" s="21">
        <f t="shared" si="8"/>
        <v>3.649999999999999</v>
      </c>
      <c r="K52" s="21">
        <f t="shared" si="8"/>
        <v>3712538.0300000003</v>
      </c>
      <c r="L52" s="21">
        <f t="shared" si="8"/>
        <v>3.6599999999999988</v>
      </c>
      <c r="M52" s="21">
        <f t="shared" si="8"/>
        <v>3710291.32</v>
      </c>
      <c r="N52" s="186">
        <f t="shared" si="8"/>
        <v>3.6599999999999993</v>
      </c>
      <c r="O52" s="140">
        <f>SUM(O34:O50)</f>
        <v>3712044.74</v>
      </c>
      <c r="P52" s="141">
        <f>SUM(P34:P49)</f>
        <v>3.6599999999999993</v>
      </c>
      <c r="Q52" s="140">
        <f t="shared" ref="Q52:V52" si="9">SUM(Q34:Q51)</f>
        <v>3823478.18</v>
      </c>
      <c r="R52" s="140">
        <f t="shared" si="9"/>
        <v>3.7699999999999991</v>
      </c>
      <c r="S52" s="140">
        <f t="shared" si="9"/>
        <v>3825231.6</v>
      </c>
      <c r="T52" s="140">
        <f t="shared" si="9"/>
        <v>3.7799999999999994</v>
      </c>
      <c r="U52" s="140">
        <f t="shared" si="9"/>
        <v>3717305.02</v>
      </c>
      <c r="V52" s="140">
        <f t="shared" si="9"/>
        <v>3.6599999999999997</v>
      </c>
      <c r="W52" s="140">
        <f t="shared" ref="W52:AL52" si="10">SUM(W34:W51)</f>
        <v>3722098.9499999997</v>
      </c>
      <c r="X52" s="140">
        <f t="shared" si="10"/>
        <v>3.6599999999999993</v>
      </c>
      <c r="Y52" s="140">
        <f t="shared" si="10"/>
        <v>3720551.0700000003</v>
      </c>
      <c r="Z52" s="140">
        <f t="shared" si="10"/>
        <v>3.6599999999999993</v>
      </c>
      <c r="AA52" s="140">
        <f t="shared" si="10"/>
        <v>3730179.4100000006</v>
      </c>
      <c r="AB52" s="140">
        <f t="shared" si="10"/>
        <v>3.6699999999999995</v>
      </c>
      <c r="AC52" s="140">
        <f t="shared" si="10"/>
        <v>3731699.6800000006</v>
      </c>
      <c r="AD52" s="140">
        <f t="shared" si="10"/>
        <v>3.6799999999999993</v>
      </c>
      <c r="AE52" s="140">
        <f t="shared" si="10"/>
        <v>3733219.9400000004</v>
      </c>
      <c r="AF52" s="140">
        <f t="shared" si="10"/>
        <v>3.6799999999999993</v>
      </c>
      <c r="AG52" s="140">
        <f t="shared" si="10"/>
        <v>3737780.7000000007</v>
      </c>
      <c r="AH52" s="140">
        <f t="shared" si="10"/>
        <v>3.669999999999999</v>
      </c>
      <c r="AI52" s="140">
        <f t="shared" si="10"/>
        <v>3825407.9100000006</v>
      </c>
      <c r="AJ52" s="140">
        <f t="shared" si="10"/>
        <v>3.7599999999999993</v>
      </c>
      <c r="AK52" s="140">
        <f t="shared" si="10"/>
        <v>3833528.1600000006</v>
      </c>
      <c r="AL52" s="140">
        <f t="shared" si="10"/>
        <v>3.7599999999999993</v>
      </c>
      <c r="AM52" s="140">
        <f t="shared" ref="AM52:AR52" si="11">SUM(AM34:AM51)</f>
        <v>3781537.8100000005</v>
      </c>
      <c r="AN52" s="140">
        <f t="shared" si="11"/>
        <v>3.7099999999999995</v>
      </c>
      <c r="AO52" s="140">
        <f t="shared" si="11"/>
        <v>3783058.0700000008</v>
      </c>
      <c r="AP52" s="140">
        <f t="shared" si="11"/>
        <v>3.7199999999999998</v>
      </c>
      <c r="AQ52" s="140">
        <f t="shared" si="11"/>
        <v>3787618.8300000005</v>
      </c>
      <c r="AR52" s="140">
        <f t="shared" si="11"/>
        <v>3.7199999999999998</v>
      </c>
      <c r="AS52" s="140">
        <f>SUM(AS34:AS51)</f>
        <v>3846420.02</v>
      </c>
      <c r="AT52" s="140">
        <f>SUM(AT34:AT51)</f>
        <v>3.7799999999999989</v>
      </c>
    </row>
    <row r="53" spans="1:47">
      <c r="B53" s="142" t="s">
        <v>59</v>
      </c>
      <c r="C53" s="22">
        <f t="shared" ref="C53:H53" si="12">C9+C19</f>
        <v>81262641.329999998</v>
      </c>
      <c r="D53" s="187">
        <f t="shared" si="12"/>
        <v>80.289999999999992</v>
      </c>
      <c r="E53" s="44">
        <f t="shared" si="12"/>
        <v>81547760.709999993</v>
      </c>
      <c r="F53" s="188">
        <f t="shared" si="12"/>
        <v>80.329999999999984</v>
      </c>
      <c r="G53" s="44">
        <f t="shared" si="12"/>
        <v>81418502.810000002</v>
      </c>
      <c r="H53" s="188">
        <f t="shared" si="12"/>
        <v>80.509999999999991</v>
      </c>
      <c r="I53" s="44">
        <f t="shared" ref="I53:AL53" si="13">I9+I19</f>
        <v>81638991.13000001</v>
      </c>
      <c r="J53" s="188">
        <f t="shared" si="13"/>
        <v>80.559999999999988</v>
      </c>
      <c r="K53" s="44">
        <f t="shared" si="13"/>
        <v>81677369.430000007</v>
      </c>
      <c r="L53" s="188">
        <f t="shared" si="13"/>
        <v>80.559999999999988</v>
      </c>
      <c r="M53" s="44">
        <f t="shared" si="13"/>
        <v>81792419.329999998</v>
      </c>
      <c r="N53" s="188">
        <f t="shared" si="13"/>
        <v>80.77000000000001</v>
      </c>
      <c r="O53" s="143">
        <f t="shared" si="13"/>
        <v>81879294.340000004</v>
      </c>
      <c r="P53" s="144">
        <f t="shared" si="13"/>
        <v>80.78</v>
      </c>
      <c r="Q53" s="143">
        <f t="shared" si="13"/>
        <v>81807703.450000003</v>
      </c>
      <c r="R53" s="144">
        <f t="shared" si="13"/>
        <v>80.709999999999994</v>
      </c>
      <c r="S53" s="143">
        <f t="shared" si="13"/>
        <v>81675769.730000004</v>
      </c>
      <c r="T53" s="144">
        <f t="shared" si="13"/>
        <v>80.69</v>
      </c>
      <c r="U53" s="143">
        <f t="shared" si="13"/>
        <v>81883983.950000003</v>
      </c>
      <c r="V53" s="144">
        <f t="shared" si="13"/>
        <v>80.72</v>
      </c>
      <c r="W53" s="143">
        <f t="shared" si="13"/>
        <v>81978588.140000001</v>
      </c>
      <c r="X53" s="144">
        <f t="shared" si="13"/>
        <v>80.740000000000009</v>
      </c>
      <c r="Y53" s="143">
        <f t="shared" si="13"/>
        <v>82064599.560000002</v>
      </c>
      <c r="Z53" s="144">
        <f t="shared" si="13"/>
        <v>80.75</v>
      </c>
      <c r="AA53" s="143">
        <f t="shared" si="13"/>
        <v>82096647.930000007</v>
      </c>
      <c r="AB53" s="144">
        <f t="shared" si="13"/>
        <v>80.75</v>
      </c>
      <c r="AC53" s="143">
        <f t="shared" si="13"/>
        <v>77759991.939999998</v>
      </c>
      <c r="AD53" s="144">
        <f t="shared" si="13"/>
        <v>76.650000000000006</v>
      </c>
      <c r="AE53" s="143">
        <f t="shared" si="13"/>
        <v>77804038.179999992</v>
      </c>
      <c r="AF53" s="144">
        <f t="shared" si="13"/>
        <v>76.650000000000006</v>
      </c>
      <c r="AG53" s="143">
        <f t="shared" si="13"/>
        <v>78181302.409999996</v>
      </c>
      <c r="AH53" s="144">
        <f t="shared" si="13"/>
        <v>76.73</v>
      </c>
      <c r="AI53" s="143">
        <f t="shared" si="13"/>
        <v>78001532</v>
      </c>
      <c r="AJ53" s="144">
        <f t="shared" si="13"/>
        <v>76.63</v>
      </c>
      <c r="AK53" s="143">
        <f t="shared" si="13"/>
        <v>78038267.090000004</v>
      </c>
      <c r="AL53" s="144">
        <f t="shared" si="13"/>
        <v>76.67</v>
      </c>
      <c r="AM53" s="143">
        <f t="shared" ref="AM53:AR53" si="14">AM9+AM19</f>
        <v>78074961.080000013</v>
      </c>
      <c r="AN53" s="144">
        <f t="shared" si="14"/>
        <v>76.67</v>
      </c>
      <c r="AO53" s="143">
        <f t="shared" si="14"/>
        <v>73936029.680000007</v>
      </c>
      <c r="AP53" s="144">
        <f t="shared" si="14"/>
        <v>72.580000000000013</v>
      </c>
      <c r="AQ53" s="143">
        <f t="shared" si="14"/>
        <v>73735611.739999995</v>
      </c>
      <c r="AR53" s="144">
        <f t="shared" si="14"/>
        <v>72.52000000000001</v>
      </c>
      <c r="AS53" s="143">
        <f>AS9+AS19</f>
        <v>73825460.480000004</v>
      </c>
      <c r="AT53" s="144">
        <f>AT9+AT19</f>
        <v>72.5</v>
      </c>
    </row>
    <row r="54" spans="1:47">
      <c r="A54" s="145" t="s">
        <v>60</v>
      </c>
      <c r="B54" s="145" t="s">
        <v>60</v>
      </c>
      <c r="C54" s="23">
        <f t="shared" ref="C54:AL54" si="15">C31</f>
        <v>9253786.4800000004</v>
      </c>
      <c r="D54" s="189">
        <f t="shared" si="15"/>
        <v>9.15</v>
      </c>
      <c r="E54" s="23">
        <f t="shared" si="15"/>
        <v>9253786.4800000004</v>
      </c>
      <c r="F54" s="190">
        <f t="shared" si="15"/>
        <v>8.1199999999999992</v>
      </c>
      <c r="G54" s="23">
        <f t="shared" si="15"/>
        <v>8992285.0899999999</v>
      </c>
      <c r="H54" s="190">
        <f t="shared" si="15"/>
        <v>7.8800000000000008</v>
      </c>
      <c r="I54" s="23">
        <f t="shared" si="15"/>
        <v>8992385.0899999999</v>
      </c>
      <c r="J54" s="190">
        <f t="shared" si="15"/>
        <v>7.8699999999999992</v>
      </c>
      <c r="K54" s="23">
        <f t="shared" si="15"/>
        <v>8992385.0899999999</v>
      </c>
      <c r="L54" s="190">
        <f t="shared" si="15"/>
        <v>7.8699999999999992</v>
      </c>
      <c r="M54" s="23">
        <f t="shared" si="15"/>
        <v>8766589.4399999995</v>
      </c>
      <c r="N54" s="190">
        <f t="shared" si="15"/>
        <v>8.66</v>
      </c>
      <c r="O54" s="146">
        <f t="shared" si="15"/>
        <v>8766477.4399999995</v>
      </c>
      <c r="P54" s="147">
        <f t="shared" si="15"/>
        <v>8.65</v>
      </c>
      <c r="Q54" s="146">
        <f t="shared" si="15"/>
        <v>8722810.0700000003</v>
      </c>
      <c r="R54" s="147">
        <f t="shared" si="15"/>
        <v>8.61</v>
      </c>
      <c r="S54" s="146">
        <f t="shared" si="15"/>
        <v>8722810.0700000003</v>
      </c>
      <c r="T54" s="147">
        <f t="shared" si="15"/>
        <v>8.620000000000001</v>
      </c>
      <c r="U54" s="146">
        <f t="shared" si="15"/>
        <v>8832490.0700000003</v>
      </c>
      <c r="V54" s="147">
        <f t="shared" si="15"/>
        <v>8.7100000000000009</v>
      </c>
      <c r="W54" s="146">
        <f t="shared" si="15"/>
        <v>8832490.0700000003</v>
      </c>
      <c r="X54" s="147">
        <f t="shared" si="15"/>
        <v>8.6999999999999993</v>
      </c>
      <c r="Y54" s="146">
        <f t="shared" si="15"/>
        <v>8841134.209999999</v>
      </c>
      <c r="Z54" s="147">
        <f t="shared" si="15"/>
        <v>8.6999999999999993</v>
      </c>
      <c r="AA54" s="146">
        <f t="shared" si="15"/>
        <v>8834184.4199999999</v>
      </c>
      <c r="AB54" s="147">
        <f t="shared" si="15"/>
        <v>8.6900000000000013</v>
      </c>
      <c r="AC54" s="146">
        <f t="shared" si="15"/>
        <v>12957197.069999998</v>
      </c>
      <c r="AD54" s="147">
        <f t="shared" si="15"/>
        <v>12.77</v>
      </c>
      <c r="AE54" s="146">
        <f t="shared" si="15"/>
        <v>12965189.069999998</v>
      </c>
      <c r="AF54" s="147">
        <f t="shared" si="15"/>
        <v>12.77</v>
      </c>
      <c r="AG54" s="146">
        <f t="shared" si="15"/>
        <v>12965189.069999998</v>
      </c>
      <c r="AH54" s="147">
        <f t="shared" si="15"/>
        <v>12.719999999999999</v>
      </c>
      <c r="AI54" s="146">
        <f t="shared" si="15"/>
        <v>12965189.069999998</v>
      </c>
      <c r="AJ54" s="147">
        <f t="shared" si="15"/>
        <v>12.73</v>
      </c>
      <c r="AK54" s="146">
        <f t="shared" si="15"/>
        <v>12913469.040000001</v>
      </c>
      <c r="AL54" s="147">
        <f t="shared" si="15"/>
        <v>12.689999999999998</v>
      </c>
      <c r="AM54" s="146">
        <f t="shared" ref="AM54:AR54" si="16">AM31</f>
        <v>12969847.380000001</v>
      </c>
      <c r="AN54" s="147">
        <f t="shared" si="16"/>
        <v>12.739999999999998</v>
      </c>
      <c r="AO54" s="146">
        <f t="shared" si="16"/>
        <v>17143447.379999999</v>
      </c>
      <c r="AP54" s="147">
        <f t="shared" si="16"/>
        <v>16.82</v>
      </c>
      <c r="AQ54" s="146">
        <f t="shared" si="16"/>
        <v>17151977.379999999</v>
      </c>
      <c r="AR54" s="147">
        <f t="shared" si="16"/>
        <v>16.87</v>
      </c>
      <c r="AS54" s="146">
        <f>AS31</f>
        <v>17151492.07</v>
      </c>
      <c r="AT54" s="147">
        <f>AT31</f>
        <v>16.84</v>
      </c>
      <c r="AU54" s="247">
        <v>17151492.07</v>
      </c>
    </row>
    <row r="55" spans="1:47">
      <c r="B55" s="145" t="s">
        <v>61</v>
      </c>
      <c r="C55" s="23">
        <f t="shared" ref="C55:AL55" si="17">C25</f>
        <v>7005983.7000000002</v>
      </c>
      <c r="D55" s="189">
        <f t="shared" si="17"/>
        <v>6.92</v>
      </c>
      <c r="E55" s="23">
        <f t="shared" si="17"/>
        <v>7005983.7000000002</v>
      </c>
      <c r="F55" s="190">
        <f t="shared" si="17"/>
        <v>6.9</v>
      </c>
      <c r="G55" s="23">
        <f t="shared" si="17"/>
        <v>7005983.7000000002</v>
      </c>
      <c r="H55" s="190">
        <f t="shared" si="17"/>
        <v>6.93</v>
      </c>
      <c r="I55" s="23">
        <f t="shared" si="17"/>
        <v>7005983.7000000002</v>
      </c>
      <c r="J55" s="190">
        <f t="shared" si="17"/>
        <v>6.92</v>
      </c>
      <c r="K55" s="23">
        <f t="shared" si="17"/>
        <v>7005983.7000000002</v>
      </c>
      <c r="L55" s="190">
        <f t="shared" si="17"/>
        <v>6.91</v>
      </c>
      <c r="M55" s="23">
        <f t="shared" si="17"/>
        <v>7005983.7000000002</v>
      </c>
      <c r="N55" s="190">
        <f t="shared" si="17"/>
        <v>6.91</v>
      </c>
      <c r="O55" s="146">
        <f t="shared" si="17"/>
        <v>7005983.7000000002</v>
      </c>
      <c r="P55" s="147">
        <f t="shared" si="17"/>
        <v>6.91</v>
      </c>
      <c r="Q55" s="146">
        <f t="shared" si="17"/>
        <v>7005983.7000000002</v>
      </c>
      <c r="R55" s="147">
        <f t="shared" si="17"/>
        <v>6.91</v>
      </c>
      <c r="S55" s="146">
        <f t="shared" si="17"/>
        <v>7005983.7000000002</v>
      </c>
      <c r="T55" s="147">
        <f t="shared" si="17"/>
        <v>6.91</v>
      </c>
      <c r="U55" s="146">
        <f t="shared" si="17"/>
        <v>7005983.7000000002</v>
      </c>
      <c r="V55" s="147">
        <f t="shared" si="17"/>
        <v>6.91</v>
      </c>
      <c r="W55" s="146">
        <f t="shared" si="17"/>
        <v>7005983.7000000002</v>
      </c>
      <c r="X55" s="147">
        <f t="shared" si="17"/>
        <v>6.9</v>
      </c>
      <c r="Y55" s="146">
        <f t="shared" si="17"/>
        <v>7005983.7000000002</v>
      </c>
      <c r="Z55" s="147">
        <f t="shared" si="17"/>
        <v>6.89</v>
      </c>
      <c r="AA55" s="146">
        <f t="shared" si="17"/>
        <v>7005983.7000000002</v>
      </c>
      <c r="AB55" s="147">
        <f t="shared" si="17"/>
        <v>6.89</v>
      </c>
      <c r="AC55" s="146">
        <f t="shared" si="17"/>
        <v>7005983.7000000002</v>
      </c>
      <c r="AD55" s="147">
        <f t="shared" si="17"/>
        <v>6.9</v>
      </c>
      <c r="AE55" s="146">
        <f t="shared" si="17"/>
        <v>7005983.7000000002</v>
      </c>
      <c r="AF55" s="147">
        <f t="shared" si="17"/>
        <v>6.9</v>
      </c>
      <c r="AG55" s="146">
        <f t="shared" si="17"/>
        <v>7005983.7000000002</v>
      </c>
      <c r="AH55" s="147">
        <f t="shared" si="17"/>
        <v>6.88</v>
      </c>
      <c r="AI55" s="146">
        <f t="shared" si="17"/>
        <v>7005983.7000000002</v>
      </c>
      <c r="AJ55" s="147">
        <f t="shared" si="17"/>
        <v>6.88</v>
      </c>
      <c r="AK55" s="146">
        <f t="shared" si="17"/>
        <v>7005983.7000000002</v>
      </c>
      <c r="AL55" s="147">
        <f t="shared" si="17"/>
        <v>6.88</v>
      </c>
      <c r="AM55" s="146">
        <f t="shared" ref="AM55:AR55" si="18">AM25</f>
        <v>7005983.7000000002</v>
      </c>
      <c r="AN55" s="147">
        <f t="shared" si="18"/>
        <v>6.88</v>
      </c>
      <c r="AO55" s="146">
        <f t="shared" si="18"/>
        <v>7005983.7000000002</v>
      </c>
      <c r="AP55" s="147">
        <f t="shared" si="18"/>
        <v>6.88</v>
      </c>
      <c r="AQ55" s="146">
        <f t="shared" si="18"/>
        <v>7005983.7000000002</v>
      </c>
      <c r="AR55" s="147">
        <f t="shared" si="18"/>
        <v>6.89</v>
      </c>
      <c r="AS55" s="146">
        <f>AS25</f>
        <v>7005983.7000000002</v>
      </c>
      <c r="AT55" s="147">
        <f>AT25</f>
        <v>6.88</v>
      </c>
    </row>
    <row r="56" spans="1:47">
      <c r="B56" s="145" t="s">
        <v>62</v>
      </c>
      <c r="C56" s="23"/>
      <c r="D56" s="189"/>
      <c r="E56" s="23"/>
      <c r="F56" s="190"/>
      <c r="G56" s="23"/>
      <c r="H56" s="190"/>
      <c r="I56" s="23"/>
      <c r="J56" s="190"/>
      <c r="K56" s="23"/>
      <c r="L56" s="190"/>
      <c r="M56" s="23"/>
      <c r="N56" s="190"/>
      <c r="O56" s="146"/>
      <c r="P56" s="147"/>
      <c r="Q56" s="146"/>
      <c r="R56" s="147"/>
      <c r="S56" s="146"/>
      <c r="T56" s="147"/>
      <c r="U56" s="146"/>
      <c r="V56" s="147"/>
      <c r="W56" s="146"/>
      <c r="X56" s="147"/>
      <c r="Y56" s="146"/>
      <c r="Z56" s="147"/>
      <c r="AA56" s="146"/>
      <c r="AB56" s="147"/>
      <c r="AC56" s="146"/>
      <c r="AD56" s="147"/>
      <c r="AE56" s="146"/>
      <c r="AF56" s="147"/>
      <c r="AG56" s="146"/>
      <c r="AH56" s="147"/>
      <c r="AI56" s="146"/>
      <c r="AJ56" s="147"/>
      <c r="AK56" s="146"/>
      <c r="AL56" s="147"/>
      <c r="AM56" s="146"/>
      <c r="AN56" s="147"/>
      <c r="AO56" s="146"/>
      <c r="AP56" s="147"/>
      <c r="AQ56" s="146"/>
      <c r="AR56" s="147"/>
      <c r="AS56" s="146"/>
      <c r="AT56" s="147"/>
    </row>
    <row r="57" spans="1:47" ht="16.5" thickBot="1">
      <c r="A57" s="148" t="e">
        <v>#REF!</v>
      </c>
      <c r="B57" s="145" t="s">
        <v>63</v>
      </c>
      <c r="C57" s="24">
        <f t="shared" ref="C57:AL57" si="19">C52</f>
        <v>3689353.3399999994</v>
      </c>
      <c r="D57" s="191">
        <f t="shared" si="19"/>
        <v>3.6399999999999988</v>
      </c>
      <c r="E57" s="24">
        <f t="shared" si="19"/>
        <v>3708242.83</v>
      </c>
      <c r="F57" s="192">
        <f t="shared" si="19"/>
        <v>3.649999999999999</v>
      </c>
      <c r="G57" s="24">
        <f t="shared" si="19"/>
        <v>3709579.1300000004</v>
      </c>
      <c r="H57" s="192">
        <f t="shared" si="19"/>
        <v>3.649999999999999</v>
      </c>
      <c r="I57" s="24">
        <f t="shared" si="19"/>
        <v>3711551.73</v>
      </c>
      <c r="J57" s="192">
        <f t="shared" si="19"/>
        <v>3.649999999999999</v>
      </c>
      <c r="K57" s="24">
        <f t="shared" si="19"/>
        <v>3712538.0300000003</v>
      </c>
      <c r="L57" s="192">
        <f t="shared" si="19"/>
        <v>3.6599999999999988</v>
      </c>
      <c r="M57" s="24">
        <f t="shared" si="19"/>
        <v>3710291.32</v>
      </c>
      <c r="N57" s="192">
        <f t="shared" si="19"/>
        <v>3.6599999999999993</v>
      </c>
      <c r="O57" s="149">
        <f t="shared" si="19"/>
        <v>3712044.74</v>
      </c>
      <c r="P57" s="150">
        <f t="shared" si="19"/>
        <v>3.6599999999999993</v>
      </c>
      <c r="Q57" s="149">
        <f t="shared" si="19"/>
        <v>3823478.18</v>
      </c>
      <c r="R57" s="150">
        <f t="shared" si="19"/>
        <v>3.7699999999999991</v>
      </c>
      <c r="S57" s="149">
        <f t="shared" si="19"/>
        <v>3825231.6</v>
      </c>
      <c r="T57" s="150">
        <f t="shared" si="19"/>
        <v>3.7799999999999994</v>
      </c>
      <c r="U57" s="149">
        <f t="shared" si="19"/>
        <v>3717305.02</v>
      </c>
      <c r="V57" s="150">
        <f t="shared" si="19"/>
        <v>3.6599999999999997</v>
      </c>
      <c r="W57" s="149">
        <f t="shared" si="19"/>
        <v>3722098.9499999997</v>
      </c>
      <c r="X57" s="150">
        <f t="shared" si="19"/>
        <v>3.6599999999999993</v>
      </c>
      <c r="Y57" s="149">
        <f t="shared" si="19"/>
        <v>3720551.0700000003</v>
      </c>
      <c r="Z57" s="150">
        <f t="shared" si="19"/>
        <v>3.6599999999999993</v>
      </c>
      <c r="AA57" s="149">
        <f t="shared" si="19"/>
        <v>3730179.4100000006</v>
      </c>
      <c r="AB57" s="150">
        <f t="shared" si="19"/>
        <v>3.6699999999999995</v>
      </c>
      <c r="AC57" s="149">
        <f t="shared" si="19"/>
        <v>3731699.6800000006</v>
      </c>
      <c r="AD57" s="150">
        <f t="shared" si="19"/>
        <v>3.6799999999999993</v>
      </c>
      <c r="AE57" s="149">
        <f t="shared" si="19"/>
        <v>3733219.9400000004</v>
      </c>
      <c r="AF57" s="150">
        <f t="shared" si="19"/>
        <v>3.6799999999999993</v>
      </c>
      <c r="AG57" s="149">
        <f t="shared" si="19"/>
        <v>3737780.7000000007</v>
      </c>
      <c r="AH57" s="150">
        <f t="shared" si="19"/>
        <v>3.669999999999999</v>
      </c>
      <c r="AI57" s="149">
        <f t="shared" si="19"/>
        <v>3825407.9100000006</v>
      </c>
      <c r="AJ57" s="150">
        <f t="shared" si="19"/>
        <v>3.7599999999999993</v>
      </c>
      <c r="AK57" s="149">
        <f t="shared" si="19"/>
        <v>3833528.1600000006</v>
      </c>
      <c r="AL57" s="150">
        <f t="shared" si="19"/>
        <v>3.7599999999999993</v>
      </c>
      <c r="AM57" s="149">
        <f t="shared" ref="AM57:AR57" si="20">AM52</f>
        <v>3781537.8100000005</v>
      </c>
      <c r="AN57" s="150">
        <f t="shared" si="20"/>
        <v>3.7099999999999995</v>
      </c>
      <c r="AO57" s="149">
        <f t="shared" si="20"/>
        <v>3783058.0700000008</v>
      </c>
      <c r="AP57" s="150">
        <f t="shared" si="20"/>
        <v>3.7199999999999998</v>
      </c>
      <c r="AQ57" s="149">
        <f t="shared" si="20"/>
        <v>3787618.8300000005</v>
      </c>
      <c r="AR57" s="150">
        <f t="shared" si="20"/>
        <v>3.7199999999999998</v>
      </c>
      <c r="AS57" s="149">
        <f>AS52</f>
        <v>3846420.02</v>
      </c>
      <c r="AT57" s="150">
        <f>AT52</f>
        <v>3.7799999999999989</v>
      </c>
      <c r="AU57" s="246">
        <v>3846420.02</v>
      </c>
    </row>
    <row r="58" spans="1:47" ht="16.5" thickBot="1">
      <c r="A58" s="151"/>
      <c r="B58" s="152" t="s">
        <v>64</v>
      </c>
      <c r="C58" s="25">
        <f t="shared" ref="C58:AL58" si="21">SUM(C53:C57)</f>
        <v>101211764.85000001</v>
      </c>
      <c r="D58" s="193">
        <f t="shared" si="21"/>
        <v>100</v>
      </c>
      <c r="E58" s="25">
        <f t="shared" si="21"/>
        <v>101515773.72</v>
      </c>
      <c r="F58" s="194">
        <f t="shared" si="21"/>
        <v>99</v>
      </c>
      <c r="G58" s="25">
        <f t="shared" si="21"/>
        <v>101126350.73</v>
      </c>
      <c r="H58" s="194">
        <f t="shared" si="21"/>
        <v>98.97</v>
      </c>
      <c r="I58" s="25">
        <f t="shared" si="21"/>
        <v>101348911.65000002</v>
      </c>
      <c r="J58" s="194">
        <f t="shared" si="21"/>
        <v>99</v>
      </c>
      <c r="K58" s="25">
        <f t="shared" si="21"/>
        <v>101388276.25000001</v>
      </c>
      <c r="L58" s="25">
        <f t="shared" si="21"/>
        <v>98.999999999999986</v>
      </c>
      <c r="M58" s="25">
        <f t="shared" si="21"/>
        <v>101275283.78999999</v>
      </c>
      <c r="N58" s="25">
        <f t="shared" si="21"/>
        <v>100</v>
      </c>
      <c r="O58" s="153">
        <f t="shared" si="21"/>
        <v>101363800.22</v>
      </c>
      <c r="P58" s="153">
        <f t="shared" si="21"/>
        <v>100</v>
      </c>
      <c r="Q58" s="153">
        <f t="shared" si="21"/>
        <v>101359975.40000002</v>
      </c>
      <c r="R58" s="153">
        <f t="shared" si="21"/>
        <v>99.999999999999986</v>
      </c>
      <c r="S58" s="153">
        <f t="shared" si="21"/>
        <v>101229795.10000001</v>
      </c>
      <c r="T58" s="153">
        <f t="shared" si="21"/>
        <v>100</v>
      </c>
      <c r="U58" s="153">
        <f t="shared" si="21"/>
        <v>101439762.74000001</v>
      </c>
      <c r="V58" s="153">
        <f t="shared" si="21"/>
        <v>100</v>
      </c>
      <c r="W58" s="153">
        <f t="shared" si="21"/>
        <v>101539160.86000001</v>
      </c>
      <c r="X58" s="153">
        <f t="shared" si="21"/>
        <v>100.00000000000001</v>
      </c>
      <c r="Y58" s="153">
        <f t="shared" si="21"/>
        <v>101632268.53999999</v>
      </c>
      <c r="Z58" s="153">
        <f t="shared" si="21"/>
        <v>100</v>
      </c>
      <c r="AA58" s="153">
        <f t="shared" si="21"/>
        <v>101666995.46000001</v>
      </c>
      <c r="AB58" s="153">
        <f t="shared" si="21"/>
        <v>100</v>
      </c>
      <c r="AC58" s="153">
        <f t="shared" si="21"/>
        <v>101454872.39</v>
      </c>
      <c r="AD58" s="153">
        <f t="shared" si="21"/>
        <v>100</v>
      </c>
      <c r="AE58" s="153">
        <f t="shared" si="21"/>
        <v>101508430.88999999</v>
      </c>
      <c r="AF58" s="153">
        <f t="shared" si="21"/>
        <v>100</v>
      </c>
      <c r="AG58" s="153">
        <f t="shared" si="21"/>
        <v>101890255.88</v>
      </c>
      <c r="AH58" s="153">
        <f t="shared" si="21"/>
        <v>100</v>
      </c>
      <c r="AI58" s="153">
        <f t="shared" si="21"/>
        <v>101798112.67999999</v>
      </c>
      <c r="AJ58" s="153">
        <f t="shared" si="21"/>
        <v>100</v>
      </c>
      <c r="AK58" s="153">
        <f t="shared" si="21"/>
        <v>101791247.99000001</v>
      </c>
      <c r="AL58" s="153">
        <f t="shared" si="21"/>
        <v>100</v>
      </c>
      <c r="AM58" s="153">
        <f t="shared" ref="AM58:AR58" si="22">SUM(AM53:AM57)</f>
        <v>101832329.97000001</v>
      </c>
      <c r="AN58" s="153">
        <f t="shared" si="22"/>
        <v>99.999999999999986</v>
      </c>
      <c r="AO58" s="153">
        <f t="shared" si="22"/>
        <v>101868518.83000001</v>
      </c>
      <c r="AP58" s="153">
        <f t="shared" si="22"/>
        <v>100</v>
      </c>
      <c r="AQ58" s="153">
        <f t="shared" si="22"/>
        <v>101681191.64999999</v>
      </c>
      <c r="AR58" s="153">
        <f t="shared" si="22"/>
        <v>100.00000000000001</v>
      </c>
      <c r="AS58" s="153">
        <f>SUM(AS53:AS57)</f>
        <v>101829356.27000001</v>
      </c>
      <c r="AT58" s="153">
        <f>SUM(AT53:AT57)</f>
        <v>100</v>
      </c>
    </row>
    <row r="59" spans="1:47">
      <c r="C59" s="29"/>
      <c r="E59" s="29">
        <f>E58-[1]REP_Zagolovok!$D$91</f>
        <v>2.499997615814209E-3</v>
      </c>
      <c r="G59" s="29">
        <f>G58-[2]REP_Zagolovok!$D$91</f>
        <v>-3.9999932050704956E-3</v>
      </c>
      <c r="I59" s="29">
        <f>I58-[3]REP_Zagolovok!$D$91</f>
        <v>3.0000060796737671E-3</v>
      </c>
      <c r="K59" s="29">
        <f>K58-[4]REP_Zagolovok!$D$91</f>
        <v>-3.4999847412109375E-3</v>
      </c>
      <c r="M59" s="29">
        <f>M58-[5]REP_Zagolovok!$D$92</f>
        <v>-3.0000060796737671E-3</v>
      </c>
      <c r="O59" s="154">
        <f>O58-[6]REP_Zagolovok!$D$93</f>
        <v>4.9999356269836426E-4</v>
      </c>
      <c r="Q59" s="154">
        <f>Q58-[7]REP_Zagolovok!$D$93</f>
        <v>3.9999932050704956E-3</v>
      </c>
      <c r="S59" s="154">
        <f>S58-[8]REP_Zagolovok!$D$93</f>
        <v>-2.4999827146530151E-3</v>
      </c>
      <c r="U59" s="154">
        <f>U58-[9]REP_Zagolovok!$D$93</f>
        <v>1.0000020265579224E-3</v>
      </c>
      <c r="W59" s="154">
        <f>W58-[10]REP_Zagolovok!$D$93</f>
        <v>1.4999955892562866E-3</v>
      </c>
      <c r="Y59" s="154">
        <f>Y58-[11]REP_Zagolovok!$D$93</f>
        <v>4.999995231628418E-3</v>
      </c>
      <c r="AA59" s="154">
        <f>AA58-[12]REP_Zagolovok!$D$93</f>
        <v>-1.4999955892562866E-3</v>
      </c>
      <c r="AC59" s="154">
        <f>AC58-[13]REP_Zagolovok!$D$93</f>
        <v>2.0000040531158447E-3</v>
      </c>
      <c r="AE59" s="154">
        <f>AE58-[14]REP_Zagolovok!$D$92</f>
        <v>-4.5000016689300537E-3</v>
      </c>
      <c r="AG59" s="154">
        <f>AG58-[15]REP_Zagolovok!$D$92</f>
        <v>-4.0000081062316895E-3</v>
      </c>
      <c r="AI59" s="154">
        <f>AI58-[16]REP_Zagolovok!$D$92</f>
        <v>-4.9999356269836426E-4</v>
      </c>
      <c r="AK59" s="154">
        <f>AK58-[17]REP_Zagolovok!$D$92</f>
        <v>3.0000060796737671E-3</v>
      </c>
      <c r="AM59" s="154">
        <f>AM58-[18]REP_Zagolovok!$D$92</f>
        <v>-3.4999847412109375E-3</v>
      </c>
      <c r="AO59" s="154">
        <f>AO58-[19]REP_Zagolovok!$D$92</f>
        <v>0</v>
      </c>
      <c r="AQ59" s="154">
        <f>AQ58-[20]REP_Zagolovok!$D$91</f>
        <v>5.0000846385955811E-4</v>
      </c>
      <c r="AS59" s="154"/>
    </row>
    <row r="60" spans="1:47" ht="16.5" thickBot="1">
      <c r="C60" s="195">
        <v>101434804.9747</v>
      </c>
      <c r="E60" s="30">
        <v>101434804.97000001</v>
      </c>
      <c r="G60" s="30"/>
      <c r="I60" s="30"/>
      <c r="K60" s="30"/>
      <c r="M60" s="30"/>
      <c r="O60" s="155"/>
      <c r="Q60" s="155"/>
      <c r="S60" s="155"/>
      <c r="U60" s="155"/>
      <c r="W60" s="155"/>
      <c r="Y60" s="155"/>
      <c r="AA60" s="155"/>
      <c r="AC60" s="155"/>
      <c r="AE60" s="155"/>
      <c r="AG60" s="155"/>
      <c r="AI60" s="155"/>
      <c r="AK60" s="155"/>
      <c r="AM60" s="155"/>
      <c r="AO60" s="155"/>
      <c r="AQ60" s="155"/>
      <c r="AS60" s="239">
        <v>101829356.26600002</v>
      </c>
    </row>
    <row r="61" spans="1:47">
      <c r="B61" s="56" t="s">
        <v>82</v>
      </c>
    </row>
    <row r="62" spans="1:47">
      <c r="C62" s="28">
        <f>C58-[21]REP_Zagolovok!$D$92</f>
        <v>1.2999922037124634E-3</v>
      </c>
      <c r="E62" s="28">
        <v>101434804.97</v>
      </c>
      <c r="G62" s="28">
        <v>101434804.97</v>
      </c>
      <c r="I62" s="28">
        <v>101434804.97</v>
      </c>
      <c r="K62" s="28">
        <f>K58-[4]REP_Zagolovok!$D$91</f>
        <v>-3.4999847412109375E-3</v>
      </c>
      <c r="M62" s="28">
        <f>M58-[4]REP_Zagolovok!$D$91</f>
        <v>-112992.46350000799</v>
      </c>
      <c r="O62" s="148">
        <f>O58-[4]REP_Zagolovok!$D$91</f>
        <v>-24476.033500000834</v>
      </c>
      <c r="Q62" s="148">
        <f>Q58-[4]REP_Zagolovok!$D$91</f>
        <v>-28300.853499978781</v>
      </c>
      <c r="S62" s="148">
        <f>S58-[4]REP_Zagolovok!$D$91</f>
        <v>-158481.1534999907</v>
      </c>
      <c r="U62" s="148">
        <f>U58-[4]REP_Zagolovok!$D$91</f>
        <v>51486.486500009894</v>
      </c>
      <c r="W62" s="148">
        <f>W58-[4]REP_Zagolovok!$D$91</f>
        <v>150884.60650001466</v>
      </c>
      <c r="Y62" s="148">
        <f>Y58-[4]REP_Zagolovok!$D$91</f>
        <v>243992.28649999201</v>
      </c>
      <c r="AA62" s="148">
        <f>AA58-[4]REP_Zagolovok!$D$91</f>
        <v>278719.2065000087</v>
      </c>
      <c r="AC62" s="148">
        <f>AC58-[4]REP_Zagolovok!$D$91</f>
        <v>66596.136500000954</v>
      </c>
      <c r="AE62" s="148">
        <f>AE58-[4]REP_Zagolovok!$D$91</f>
        <v>120154.63649998605</v>
      </c>
      <c r="AG62" s="148">
        <f>AG58-[4]REP_Zagolovok!$D$91</f>
        <v>501979.62649999559</v>
      </c>
      <c r="AI62" s="148">
        <f>AI58-[4]REP_Zagolovok!$D$91</f>
        <v>409836.42649999261</v>
      </c>
      <c r="AK62" s="148">
        <f>AK58-[4]REP_Zagolovok!$D$91</f>
        <v>402971.73650000989</v>
      </c>
      <c r="AM62" s="148">
        <f>AM58-[4]REP_Zagolovok!$D$91</f>
        <v>444053.71650001407</v>
      </c>
      <c r="AO62" s="148">
        <f>AO58-[4]REP_Zagolovok!$D$91</f>
        <v>480242.57650001347</v>
      </c>
      <c r="AQ62" s="148">
        <f>AQ58-[4]REP_Zagolovok!$D$91</f>
        <v>292915.39649999142</v>
      </c>
      <c r="AS62" s="148">
        <f>AS58-[4]REP_Zagolovok!$D$91</f>
        <v>441080.01650001109</v>
      </c>
    </row>
    <row r="76" spans="1:46">
      <c r="A76" s="156" t="s">
        <v>65</v>
      </c>
      <c r="B76" s="156" t="s">
        <v>65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</row>
  </sheetData>
  <mergeCells count="30">
    <mergeCell ref="A52:B52"/>
    <mergeCell ref="C1:D1"/>
    <mergeCell ref="A9:B9"/>
    <mergeCell ref="A19:B19"/>
    <mergeCell ref="A21:B21"/>
    <mergeCell ref="A25:B25"/>
    <mergeCell ref="A31:B31"/>
    <mergeCell ref="A32:B32"/>
    <mergeCell ref="A33:B33"/>
    <mergeCell ref="K1:L1"/>
    <mergeCell ref="AI1:AJ1"/>
    <mergeCell ref="AG1:AH1"/>
    <mergeCell ref="E1:F1"/>
    <mergeCell ref="G1:H1"/>
    <mergeCell ref="Y1:Z1"/>
    <mergeCell ref="AA1:AB1"/>
    <mergeCell ref="W1:X1"/>
    <mergeCell ref="I1:J1"/>
    <mergeCell ref="M1:N1"/>
    <mergeCell ref="O1:P1"/>
    <mergeCell ref="AS1:AT1"/>
    <mergeCell ref="AO1:AP1"/>
    <mergeCell ref="AM1:AN1"/>
    <mergeCell ref="S1:T1"/>
    <mergeCell ref="Q1:R1"/>
    <mergeCell ref="AK1:AL1"/>
    <mergeCell ref="AQ1:AR1"/>
    <mergeCell ref="AE1:AF1"/>
    <mergeCell ref="U1:V1"/>
    <mergeCell ref="AC1:A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77"/>
  <sheetViews>
    <sheetView topLeftCell="A55" workbookViewId="0">
      <selection activeCell="AM60" sqref="AM60"/>
    </sheetView>
  </sheetViews>
  <sheetFormatPr defaultColWidth="9.140625" defaultRowHeight="15.75"/>
  <cols>
    <col min="1" max="1" width="38.42578125" style="56" bestFit="1" customWidth="1"/>
    <col min="2" max="2" width="22.85546875" style="56" hidden="1" customWidth="1"/>
    <col min="3" max="3" width="17.28515625" style="56" hidden="1" customWidth="1"/>
    <col min="4" max="4" width="9.5703125" style="56" hidden="1" customWidth="1"/>
    <col min="5" max="5" width="17.28515625" style="56" hidden="1" customWidth="1"/>
    <col min="6" max="6" width="9.5703125" style="56" hidden="1" customWidth="1"/>
    <col min="7" max="7" width="17.28515625" style="56" hidden="1" customWidth="1"/>
    <col min="8" max="8" width="9.5703125" style="56" hidden="1" customWidth="1"/>
    <col min="9" max="9" width="17.28515625" style="56" hidden="1" customWidth="1"/>
    <col min="10" max="10" width="9.5703125" style="56" hidden="1" customWidth="1"/>
    <col min="11" max="11" width="17.28515625" style="56" hidden="1" customWidth="1"/>
    <col min="12" max="12" width="9.5703125" style="56" hidden="1" customWidth="1"/>
    <col min="13" max="13" width="17.28515625" style="56" hidden="1" customWidth="1"/>
    <col min="14" max="14" width="9.5703125" style="56" hidden="1" customWidth="1"/>
    <col min="15" max="15" width="20.28515625" style="56" hidden="1" customWidth="1"/>
    <col min="16" max="16" width="9.5703125" style="56" hidden="1" customWidth="1"/>
    <col min="17" max="17" width="16.140625" style="56" hidden="1" customWidth="1"/>
    <col min="18" max="18" width="9.5703125" style="56" hidden="1" customWidth="1"/>
    <col min="19" max="19" width="20.28515625" style="56" hidden="1" customWidth="1"/>
    <col min="20" max="20" width="9.5703125" style="56" hidden="1" customWidth="1"/>
    <col min="21" max="21" width="20.28515625" style="56" hidden="1" customWidth="1"/>
    <col min="22" max="22" width="9.5703125" style="56" hidden="1" customWidth="1"/>
    <col min="23" max="23" width="20.28515625" style="56" hidden="1" customWidth="1"/>
    <col min="24" max="24" width="9.5703125" style="56" hidden="1" customWidth="1"/>
    <col min="25" max="25" width="20.28515625" style="56" hidden="1" customWidth="1"/>
    <col min="26" max="26" width="9.5703125" style="56" hidden="1" customWidth="1"/>
    <col min="27" max="27" width="20.28515625" style="56" hidden="1" customWidth="1"/>
    <col min="28" max="28" width="9.5703125" style="56" hidden="1" customWidth="1"/>
    <col min="29" max="29" width="20.28515625" style="56" hidden="1" customWidth="1"/>
    <col min="30" max="30" width="9.5703125" style="56" hidden="1" customWidth="1"/>
    <col min="31" max="31" width="20.28515625" style="56" hidden="1" customWidth="1"/>
    <col min="32" max="32" width="9.5703125" style="56" hidden="1" customWidth="1"/>
    <col min="33" max="33" width="20.28515625" style="56" hidden="1" customWidth="1"/>
    <col min="34" max="34" width="9.5703125" style="56" hidden="1" customWidth="1"/>
    <col min="35" max="35" width="20.28515625" style="56" hidden="1" customWidth="1"/>
    <col min="36" max="36" width="9.5703125" style="56" hidden="1" customWidth="1"/>
    <col min="37" max="37" width="20.28515625" style="56" customWidth="1"/>
    <col min="38" max="38" width="10.7109375" style="332" bestFit="1" customWidth="1"/>
    <col min="39" max="39" width="20.28515625" style="56" customWidth="1"/>
    <col min="40" max="40" width="10.7109375" style="332" bestFit="1" customWidth="1"/>
    <col min="41" max="16384" width="9.140625" style="56"/>
  </cols>
  <sheetData>
    <row r="1" spans="1:40">
      <c r="C1" s="1014">
        <v>1</v>
      </c>
      <c r="D1" s="1015"/>
      <c r="E1" s="1014">
        <v>2</v>
      </c>
      <c r="F1" s="1015"/>
      <c r="G1" s="1014">
        <v>3</v>
      </c>
      <c r="H1" s="1015"/>
      <c r="I1" s="1014">
        <v>6</v>
      </c>
      <c r="J1" s="1015"/>
      <c r="K1" s="1014">
        <v>7</v>
      </c>
      <c r="L1" s="1015"/>
      <c r="M1" s="1014">
        <v>8</v>
      </c>
      <c r="N1" s="1015"/>
      <c r="O1" s="1014">
        <v>9</v>
      </c>
      <c r="P1" s="1015"/>
      <c r="Q1" s="1014">
        <v>10</v>
      </c>
      <c r="R1" s="1034"/>
      <c r="S1" s="1014">
        <v>13</v>
      </c>
      <c r="T1" s="1015"/>
      <c r="U1" s="1014">
        <v>14</v>
      </c>
      <c r="V1" s="1015"/>
      <c r="W1" s="1014">
        <v>15</v>
      </c>
      <c r="X1" s="1015"/>
      <c r="Y1" s="1014">
        <v>16</v>
      </c>
      <c r="Z1" s="1015"/>
      <c r="AA1" s="1014">
        <v>17</v>
      </c>
      <c r="AB1" s="1015"/>
      <c r="AC1" s="1014">
        <v>20</v>
      </c>
      <c r="AD1" s="1015"/>
      <c r="AE1" s="1014">
        <v>21</v>
      </c>
      <c r="AF1" s="1015"/>
      <c r="AG1" s="1014">
        <v>23</v>
      </c>
      <c r="AH1" s="1015"/>
      <c r="AI1" s="1014">
        <v>24</v>
      </c>
      <c r="AJ1" s="1015"/>
      <c r="AK1" s="1014">
        <v>27</v>
      </c>
      <c r="AL1" s="1015"/>
      <c r="AM1" s="1014">
        <v>28</v>
      </c>
      <c r="AN1" s="1015"/>
    </row>
    <row r="2" spans="1:40">
      <c r="A2" s="57" t="s">
        <v>16</v>
      </c>
      <c r="B2" s="58" t="s">
        <v>15</v>
      </c>
      <c r="C2" s="233">
        <v>8420185</v>
      </c>
      <c r="D2" s="230">
        <v>8.26</v>
      </c>
      <c r="E2" s="233">
        <v>8423160</v>
      </c>
      <c r="F2" s="230">
        <v>8.27</v>
      </c>
      <c r="G2" s="233">
        <v>8426050</v>
      </c>
      <c r="H2" s="230">
        <v>8.27</v>
      </c>
      <c r="I2" s="233">
        <v>8434890</v>
      </c>
      <c r="J2" s="230">
        <v>8.26</v>
      </c>
      <c r="K2" s="233">
        <v>8441860</v>
      </c>
      <c r="L2" s="230">
        <v>8.2799999999999994</v>
      </c>
      <c r="M2" s="264">
        <v>8444580</v>
      </c>
      <c r="N2" s="230">
        <v>8.2799999999999994</v>
      </c>
      <c r="O2" s="264">
        <v>8447300</v>
      </c>
      <c r="P2" s="230">
        <v>8.3000000000000007</v>
      </c>
      <c r="Q2" s="275">
        <v>8450020</v>
      </c>
      <c r="R2" s="275">
        <v>8.2799999999999994</v>
      </c>
      <c r="S2" s="264">
        <v>8458095</v>
      </c>
      <c r="T2" s="230">
        <v>8.3000000000000007</v>
      </c>
      <c r="U2" s="264">
        <v>8459880</v>
      </c>
      <c r="V2" s="230">
        <v>8.2799999999999994</v>
      </c>
      <c r="W2" s="264">
        <v>8462685</v>
      </c>
      <c r="X2" s="230">
        <v>8.2899999999999991</v>
      </c>
      <c r="Y2" s="264">
        <v>8465405</v>
      </c>
      <c r="Z2" s="230">
        <v>8.2899999999999991</v>
      </c>
      <c r="AA2" s="264">
        <v>8468125</v>
      </c>
      <c r="AB2" s="230">
        <v>8.2899999999999991</v>
      </c>
      <c r="AC2" s="264">
        <v>8476200</v>
      </c>
      <c r="AD2" s="230">
        <v>8.3000000000000007</v>
      </c>
      <c r="AE2" s="264">
        <v>8476965</v>
      </c>
      <c r="AF2" s="230">
        <v>8.2899999999999991</v>
      </c>
      <c r="AG2" s="264">
        <v>8482745</v>
      </c>
      <c r="AH2" s="230">
        <v>8.3000000000000007</v>
      </c>
      <c r="AI2" s="264">
        <v>8485635</v>
      </c>
      <c r="AJ2" s="230">
        <v>8.2899999999999991</v>
      </c>
      <c r="AK2" s="313">
        <v>8494305</v>
      </c>
      <c r="AL2" s="315">
        <v>8.3000000000000007</v>
      </c>
      <c r="AM2" s="313">
        <v>8497110</v>
      </c>
      <c r="AN2" s="315">
        <v>8.3000000000000007</v>
      </c>
    </row>
    <row r="3" spans="1:40">
      <c r="A3" s="57" t="s">
        <v>17</v>
      </c>
      <c r="B3" s="58" t="s">
        <v>15</v>
      </c>
      <c r="C3" s="234">
        <v>12960453.6</v>
      </c>
      <c r="D3" s="230">
        <v>12.72</v>
      </c>
      <c r="E3" s="234">
        <v>12965962.4</v>
      </c>
      <c r="F3" s="230">
        <v>12.72</v>
      </c>
      <c r="G3" s="234">
        <v>12971596.4</v>
      </c>
      <c r="H3" s="230">
        <v>12.73</v>
      </c>
      <c r="I3" s="234">
        <v>12988248</v>
      </c>
      <c r="J3" s="230">
        <v>12.73</v>
      </c>
      <c r="K3" s="234">
        <v>13016042.4</v>
      </c>
      <c r="L3" s="230">
        <v>12.77</v>
      </c>
      <c r="M3" s="265">
        <v>13021426</v>
      </c>
      <c r="N3" s="230">
        <v>12.78</v>
      </c>
      <c r="O3" s="265">
        <v>13026809.6</v>
      </c>
      <c r="P3" s="230">
        <v>12.8</v>
      </c>
      <c r="Q3" s="276">
        <v>13032193.199999999</v>
      </c>
      <c r="R3" s="276">
        <v>12.78</v>
      </c>
      <c r="S3" s="265">
        <v>13048344</v>
      </c>
      <c r="T3" s="230">
        <v>12.8</v>
      </c>
      <c r="U3" s="265">
        <v>13042209.199999999</v>
      </c>
      <c r="V3" s="230">
        <v>12.77</v>
      </c>
      <c r="W3" s="265">
        <v>13047592.800000001</v>
      </c>
      <c r="X3" s="230">
        <v>12.78</v>
      </c>
      <c r="Y3" s="265">
        <v>13053101.6</v>
      </c>
      <c r="Z3" s="230">
        <v>12.78</v>
      </c>
      <c r="AA3" s="265">
        <v>13058485.199999999</v>
      </c>
      <c r="AB3" s="230">
        <v>12.78</v>
      </c>
      <c r="AC3" s="265">
        <v>13074636</v>
      </c>
      <c r="AD3" s="230">
        <v>12.81</v>
      </c>
      <c r="AE3" s="265">
        <v>13059111.199999999</v>
      </c>
      <c r="AF3" s="230">
        <v>12.77</v>
      </c>
      <c r="AG3" s="265">
        <v>13070003.6</v>
      </c>
      <c r="AH3" s="230">
        <v>12.79</v>
      </c>
      <c r="AI3" s="265">
        <v>13075387.199999999</v>
      </c>
      <c r="AJ3" s="230">
        <v>12.77</v>
      </c>
      <c r="AK3" s="314">
        <v>13091663.199999999</v>
      </c>
      <c r="AL3" s="315">
        <v>12.79</v>
      </c>
      <c r="AM3" s="314">
        <v>13095419.199999999</v>
      </c>
      <c r="AN3" s="315">
        <v>12.79</v>
      </c>
    </row>
    <row r="4" spans="1:40">
      <c r="A4" s="57" t="s">
        <v>18</v>
      </c>
      <c r="B4" s="58" t="s">
        <v>15</v>
      </c>
      <c r="C4" s="231">
        <v>7995440</v>
      </c>
      <c r="D4" s="230">
        <v>7.84</v>
      </c>
      <c r="E4" s="231">
        <v>7999180</v>
      </c>
      <c r="F4" s="230">
        <v>7.85</v>
      </c>
      <c r="G4" s="231">
        <v>8002920</v>
      </c>
      <c r="H4" s="230">
        <v>7.86</v>
      </c>
      <c r="I4" s="231">
        <v>8013970</v>
      </c>
      <c r="J4" s="230">
        <v>7.85</v>
      </c>
      <c r="K4" s="231">
        <v>8034030</v>
      </c>
      <c r="L4" s="230">
        <v>7.88</v>
      </c>
      <c r="M4" s="262">
        <v>8037685</v>
      </c>
      <c r="N4" s="230">
        <v>7.89</v>
      </c>
      <c r="O4" s="262">
        <v>8041255</v>
      </c>
      <c r="P4" s="230">
        <v>7.9</v>
      </c>
      <c r="Q4" s="276">
        <v>8044910</v>
      </c>
      <c r="R4" s="276">
        <v>7.89</v>
      </c>
      <c r="S4" s="265">
        <v>8055790</v>
      </c>
      <c r="T4" s="230">
        <v>7.91</v>
      </c>
      <c r="U4" s="265">
        <v>8049245</v>
      </c>
      <c r="V4" s="230">
        <v>7.88</v>
      </c>
      <c r="W4" s="265">
        <v>8052985</v>
      </c>
      <c r="X4" s="230">
        <v>7.89</v>
      </c>
      <c r="Y4" s="265">
        <v>8056640</v>
      </c>
      <c r="Z4" s="230">
        <v>7.89</v>
      </c>
      <c r="AA4" s="265">
        <v>8060295</v>
      </c>
      <c r="AB4" s="230">
        <v>7.89</v>
      </c>
      <c r="AC4" s="265">
        <v>8071260</v>
      </c>
      <c r="AD4" s="230">
        <v>7.91</v>
      </c>
      <c r="AE4" s="265">
        <v>8060975</v>
      </c>
      <c r="AF4" s="230">
        <v>7.88</v>
      </c>
      <c r="AG4" s="265">
        <v>8068200</v>
      </c>
      <c r="AH4" s="230">
        <v>7.9</v>
      </c>
      <c r="AI4" s="265">
        <v>8071770</v>
      </c>
      <c r="AJ4" s="230">
        <v>7.88</v>
      </c>
      <c r="AK4" s="311">
        <v>8082650</v>
      </c>
      <c r="AL4" s="315">
        <v>7.9</v>
      </c>
      <c r="AM4" s="311">
        <v>8084520</v>
      </c>
      <c r="AN4" s="315">
        <v>7.89</v>
      </c>
    </row>
    <row r="5" spans="1:40">
      <c r="A5" s="57" t="s">
        <v>19</v>
      </c>
      <c r="B5" s="58" t="s">
        <v>15</v>
      </c>
      <c r="C5" s="232">
        <v>3651300</v>
      </c>
      <c r="D5" s="230">
        <v>3.58</v>
      </c>
      <c r="E5" s="232">
        <v>3653100</v>
      </c>
      <c r="F5" s="230">
        <v>3.58</v>
      </c>
      <c r="G5" s="232">
        <v>3654864</v>
      </c>
      <c r="H5" s="230">
        <v>3.59</v>
      </c>
      <c r="I5" s="232">
        <v>3660264</v>
      </c>
      <c r="J5" s="230">
        <v>3.59</v>
      </c>
      <c r="K5" s="232">
        <v>3669804</v>
      </c>
      <c r="L5" s="230">
        <v>3.6</v>
      </c>
      <c r="M5" s="263">
        <v>3671568</v>
      </c>
      <c r="N5" s="230">
        <v>3.6</v>
      </c>
      <c r="O5" s="263">
        <v>3673368</v>
      </c>
      <c r="P5" s="230">
        <v>3.61</v>
      </c>
      <c r="Q5" s="276">
        <v>3675132</v>
      </c>
      <c r="R5" s="276">
        <v>3.6</v>
      </c>
      <c r="S5" s="265">
        <v>3680460</v>
      </c>
      <c r="T5" s="230">
        <v>3.61</v>
      </c>
      <c r="U5" s="265">
        <v>3676608</v>
      </c>
      <c r="V5" s="230">
        <v>3.6</v>
      </c>
      <c r="W5" s="265">
        <v>3678408</v>
      </c>
      <c r="X5" s="230">
        <v>3.6</v>
      </c>
      <c r="Y5" s="265">
        <v>3680172</v>
      </c>
      <c r="Z5" s="230">
        <v>3.6</v>
      </c>
      <c r="AA5" s="265">
        <v>3681972</v>
      </c>
      <c r="AB5" s="230">
        <v>3.6</v>
      </c>
      <c r="AC5" s="265">
        <v>3687300</v>
      </c>
      <c r="AD5" s="230">
        <v>3.61</v>
      </c>
      <c r="AE5" s="265">
        <v>3683664</v>
      </c>
      <c r="AF5" s="230">
        <v>3.6</v>
      </c>
      <c r="AG5" s="265">
        <v>3507084</v>
      </c>
      <c r="AH5" s="230">
        <v>3.44</v>
      </c>
      <c r="AI5" s="265">
        <v>3508776</v>
      </c>
      <c r="AJ5" s="230">
        <v>3.4200000000000004</v>
      </c>
      <c r="AK5" s="312">
        <v>3513852</v>
      </c>
      <c r="AL5" s="315">
        <v>3.43</v>
      </c>
      <c r="AM5" s="312">
        <v>3514284</v>
      </c>
      <c r="AN5" s="315">
        <v>3.43</v>
      </c>
    </row>
    <row r="6" spans="1:40">
      <c r="A6" s="57" t="s">
        <v>20</v>
      </c>
      <c r="B6" s="58" t="s">
        <v>15</v>
      </c>
      <c r="C6" s="231">
        <v>2072931</v>
      </c>
      <c r="D6" s="230">
        <v>2.0299999999999998</v>
      </c>
      <c r="E6" s="231">
        <v>2074044</v>
      </c>
      <c r="F6" s="230">
        <v>2.04</v>
      </c>
      <c r="G6" s="231">
        <v>2075157</v>
      </c>
      <c r="H6" s="230">
        <v>2.04</v>
      </c>
      <c r="I6" s="231">
        <v>2078496</v>
      </c>
      <c r="J6" s="230">
        <v>2.04</v>
      </c>
      <c r="K6" s="231">
        <v>2083977</v>
      </c>
      <c r="L6" s="230">
        <v>2.04</v>
      </c>
      <c r="M6" s="262">
        <v>2085090</v>
      </c>
      <c r="N6" s="230">
        <v>2.0499999999999998</v>
      </c>
      <c r="O6" s="262">
        <v>2086203</v>
      </c>
      <c r="P6" s="230">
        <v>2.0499999999999998</v>
      </c>
      <c r="Q6" s="277">
        <v>2087316</v>
      </c>
      <c r="R6" s="277">
        <v>2.0499999999999998</v>
      </c>
      <c r="S6" s="262">
        <v>2090655</v>
      </c>
      <c r="T6" s="230">
        <v>2.0499999999999998</v>
      </c>
      <c r="U6" s="262">
        <v>2088156</v>
      </c>
      <c r="V6" s="230">
        <v>2.04</v>
      </c>
      <c r="W6" s="262">
        <v>2089269</v>
      </c>
      <c r="X6" s="230">
        <v>2.04</v>
      </c>
      <c r="Y6" s="262">
        <v>2090382</v>
      </c>
      <c r="Z6" s="230">
        <v>2.04</v>
      </c>
      <c r="AA6" s="262">
        <v>2091474</v>
      </c>
      <c r="AB6" s="230">
        <v>2.0499999999999998</v>
      </c>
      <c r="AC6" s="262">
        <v>2094792</v>
      </c>
      <c r="AD6" s="230">
        <v>2.0499999999999998</v>
      </c>
      <c r="AE6" s="301">
        <v>2074530.15</v>
      </c>
      <c r="AF6" s="227">
        <v>2.0299999999999998</v>
      </c>
      <c r="AG6" s="301">
        <v>2096178</v>
      </c>
      <c r="AH6" s="227">
        <v>2.0499999999999998</v>
      </c>
      <c r="AI6" s="301">
        <v>2097270</v>
      </c>
      <c r="AJ6" s="227">
        <v>2.0499999999999998</v>
      </c>
      <c r="AK6" s="311">
        <v>2100504</v>
      </c>
      <c r="AL6" s="315">
        <v>2.0499999999999998</v>
      </c>
      <c r="AM6" s="311">
        <v>2100189</v>
      </c>
      <c r="AN6" s="315">
        <v>2.0499999999999998</v>
      </c>
    </row>
    <row r="7" spans="1:40">
      <c r="A7" s="57" t="s">
        <v>21</v>
      </c>
      <c r="B7" s="58" t="s">
        <v>15</v>
      </c>
      <c r="C7" s="231">
        <v>8576591.6600000001</v>
      </c>
      <c r="D7" s="230">
        <v>8.41</v>
      </c>
      <c r="E7" s="231">
        <v>8581305.3200000003</v>
      </c>
      <c r="F7" s="230">
        <v>8.42</v>
      </c>
      <c r="G7" s="231">
        <v>8585931.6899999995</v>
      </c>
      <c r="H7" s="230">
        <v>8.43</v>
      </c>
      <c r="I7" s="231">
        <v>8600072.6699999999</v>
      </c>
      <c r="J7" s="230">
        <v>8.43</v>
      </c>
      <c r="K7" s="231">
        <v>8622244.3300000001</v>
      </c>
      <c r="L7" s="230">
        <v>8.4600000000000009</v>
      </c>
      <c r="M7" s="262">
        <v>8626957.9900000002</v>
      </c>
      <c r="N7" s="230">
        <v>8.4600000000000009</v>
      </c>
      <c r="O7" s="262">
        <v>8631671.6500000004</v>
      </c>
      <c r="P7" s="230">
        <v>8.48</v>
      </c>
      <c r="Q7" s="277">
        <v>8636385.3100000005</v>
      </c>
      <c r="R7" s="277">
        <v>8.4700000000000006</v>
      </c>
      <c r="S7" s="262">
        <v>8650526.2899999991</v>
      </c>
      <c r="T7" s="230">
        <v>8.49</v>
      </c>
      <c r="U7" s="262">
        <v>8640575.2300000004</v>
      </c>
      <c r="V7" s="230">
        <v>8.4600000000000009</v>
      </c>
      <c r="W7" s="262">
        <v>8645288.8900000006</v>
      </c>
      <c r="X7" s="230">
        <v>8.4700000000000006</v>
      </c>
      <c r="Y7" s="262">
        <v>8650002.5500000007</v>
      </c>
      <c r="Z7" s="230">
        <v>8.4700000000000006</v>
      </c>
      <c r="AA7" s="262">
        <v>8654628.9199999999</v>
      </c>
      <c r="AB7" s="230">
        <v>8.4700000000000006</v>
      </c>
      <c r="AC7" s="262">
        <v>8668682.6099999994</v>
      </c>
      <c r="AD7" s="230">
        <v>8.49</v>
      </c>
      <c r="AE7" s="262">
        <v>8667547.8399999999</v>
      </c>
      <c r="AF7" s="230">
        <v>8.4700000000000006</v>
      </c>
      <c r="AG7" s="262">
        <v>8676626</v>
      </c>
      <c r="AH7" s="230">
        <v>8.49</v>
      </c>
      <c r="AI7" s="262">
        <v>8681252.3699999992</v>
      </c>
      <c r="AJ7" s="230">
        <v>8.48</v>
      </c>
      <c r="AK7" s="311">
        <v>8694869.6099999994</v>
      </c>
      <c r="AL7" s="315">
        <v>8.49</v>
      </c>
      <c r="AM7" s="311">
        <v>8692600.0700000003</v>
      </c>
      <c r="AN7" s="315">
        <v>8.49</v>
      </c>
    </row>
    <row r="8" spans="1:40">
      <c r="A8" s="57" t="s">
        <v>66</v>
      </c>
      <c r="B8" s="58" t="s">
        <v>15</v>
      </c>
      <c r="C8" s="229">
        <v>5483235.3200000003</v>
      </c>
      <c r="D8" s="227">
        <v>5.38</v>
      </c>
      <c r="E8" s="256">
        <v>5694672</v>
      </c>
      <c r="F8" s="230">
        <v>5.59</v>
      </c>
      <c r="G8" s="229">
        <v>5603703.0599999996</v>
      </c>
      <c r="H8" s="227">
        <v>5.5</v>
      </c>
      <c r="I8" s="256">
        <v>5708824</v>
      </c>
      <c r="J8" s="230">
        <v>5.59</v>
      </c>
      <c r="K8" s="256">
        <v>5703314</v>
      </c>
      <c r="L8" s="230">
        <v>5.6</v>
      </c>
      <c r="M8" s="263">
        <v>5706910</v>
      </c>
      <c r="N8" s="230">
        <v>5.6</v>
      </c>
      <c r="O8" s="263">
        <v>5510154.8600000003</v>
      </c>
      <c r="P8" s="230">
        <v>5.42</v>
      </c>
      <c r="Q8" s="277">
        <v>5714044</v>
      </c>
      <c r="R8" s="277">
        <v>5.6</v>
      </c>
      <c r="S8" s="263">
        <v>5523672.9199999999</v>
      </c>
      <c r="T8" s="230">
        <v>5.42</v>
      </c>
      <c r="U8" s="263">
        <v>5786776</v>
      </c>
      <c r="V8" s="230">
        <v>5.66</v>
      </c>
      <c r="W8" s="263">
        <v>5790140</v>
      </c>
      <c r="X8" s="230">
        <v>5.67</v>
      </c>
      <c r="Y8" s="263">
        <v>5793446</v>
      </c>
      <c r="Z8" s="230">
        <v>5.67</v>
      </c>
      <c r="AA8" s="263">
        <v>5796810</v>
      </c>
      <c r="AB8" s="230">
        <v>5.67</v>
      </c>
      <c r="AC8" s="263">
        <v>5584202.2999999998</v>
      </c>
      <c r="AD8" s="230">
        <v>5.47</v>
      </c>
      <c r="AE8" s="263">
        <v>5816936</v>
      </c>
      <c r="AF8" s="230">
        <v>5.69</v>
      </c>
      <c r="AG8" s="263">
        <v>5631330.2000000002</v>
      </c>
      <c r="AH8" s="230">
        <v>5.51</v>
      </c>
      <c r="AI8" s="263">
        <v>5827144</v>
      </c>
      <c r="AJ8" s="230">
        <v>5.69</v>
      </c>
      <c r="AK8" s="312">
        <v>5837410</v>
      </c>
      <c r="AL8" s="315">
        <v>5.7</v>
      </c>
      <c r="AM8" s="312">
        <v>5793910</v>
      </c>
      <c r="AN8" s="315">
        <v>5.65</v>
      </c>
    </row>
    <row r="9" spans="1:40" ht="16.5" thickBot="1">
      <c r="A9" s="1020" t="s">
        <v>22</v>
      </c>
      <c r="B9" s="1021"/>
      <c r="C9" s="62">
        <f t="shared" ref="C9:H9" si="0">SUM(C2:C8)</f>
        <v>49160136.580000006</v>
      </c>
      <c r="D9" s="63">
        <f t="shared" si="0"/>
        <v>48.220000000000006</v>
      </c>
      <c r="E9" s="62">
        <f t="shared" si="0"/>
        <v>49391423.719999999</v>
      </c>
      <c r="F9" s="63">
        <f t="shared" si="0"/>
        <v>48.47</v>
      </c>
      <c r="G9" s="62">
        <f t="shared" si="0"/>
        <v>49320222.149999999</v>
      </c>
      <c r="H9" s="63">
        <f t="shared" si="0"/>
        <v>48.42</v>
      </c>
      <c r="I9" s="62">
        <f t="shared" ref="I9:N9" si="1">SUM(I2:I8)</f>
        <v>49484764.670000002</v>
      </c>
      <c r="J9" s="63">
        <f t="shared" si="1"/>
        <v>48.490000000000009</v>
      </c>
      <c r="K9" s="62">
        <f t="shared" si="1"/>
        <v>49571271.729999997</v>
      </c>
      <c r="L9" s="63">
        <f t="shared" si="1"/>
        <v>48.629999999999995</v>
      </c>
      <c r="M9" s="62">
        <f t="shared" si="1"/>
        <v>49594216.990000002</v>
      </c>
      <c r="N9" s="63">
        <f t="shared" si="1"/>
        <v>48.66</v>
      </c>
      <c r="O9" s="62">
        <f t="shared" ref="O9:T9" si="2">SUM(O2:O8)</f>
        <v>49416762.109999999</v>
      </c>
      <c r="P9" s="63">
        <f t="shared" si="2"/>
        <v>48.56</v>
      </c>
      <c r="Q9" s="63">
        <f t="shared" si="2"/>
        <v>49640000.510000005</v>
      </c>
      <c r="R9" s="63">
        <f t="shared" si="2"/>
        <v>48.669999999999995</v>
      </c>
      <c r="S9" s="62">
        <f t="shared" si="2"/>
        <v>49507543.210000001</v>
      </c>
      <c r="T9" s="63">
        <f t="shared" si="2"/>
        <v>48.580000000000005</v>
      </c>
      <c r="U9" s="62">
        <f t="shared" ref="U9:AB9" si="3">SUM(U2:U8)</f>
        <v>49743449.430000007</v>
      </c>
      <c r="V9" s="63">
        <f t="shared" si="3"/>
        <v>48.69</v>
      </c>
      <c r="W9" s="62">
        <f t="shared" si="3"/>
        <v>49766368.689999998</v>
      </c>
      <c r="X9" s="63">
        <f t="shared" si="3"/>
        <v>48.74</v>
      </c>
      <c r="Y9" s="62">
        <f t="shared" si="3"/>
        <v>49789149.150000006</v>
      </c>
      <c r="Z9" s="63">
        <f t="shared" si="3"/>
        <v>48.74</v>
      </c>
      <c r="AA9" s="62">
        <f t="shared" si="3"/>
        <v>49811790.120000005</v>
      </c>
      <c r="AB9" s="63">
        <f t="shared" si="3"/>
        <v>48.75</v>
      </c>
      <c r="AC9" s="62">
        <f t="shared" ref="AC9:AJ9" si="4">SUM(AC2:AC8)</f>
        <v>49657072.909999996</v>
      </c>
      <c r="AD9" s="63">
        <f t="shared" si="4"/>
        <v>48.64</v>
      </c>
      <c r="AE9" s="62">
        <f t="shared" si="4"/>
        <v>49839729.189999998</v>
      </c>
      <c r="AF9" s="63">
        <f t="shared" si="4"/>
        <v>48.73</v>
      </c>
      <c r="AG9" s="62">
        <f t="shared" si="4"/>
        <v>49532166.800000004</v>
      </c>
      <c r="AH9" s="63">
        <f t="shared" si="4"/>
        <v>48.48</v>
      </c>
      <c r="AI9" s="62">
        <f t="shared" si="4"/>
        <v>49747234.57</v>
      </c>
      <c r="AJ9" s="63">
        <f t="shared" si="4"/>
        <v>48.58</v>
      </c>
      <c r="AK9" s="62">
        <f>SUM(AK2:AK8)</f>
        <v>49815253.810000002</v>
      </c>
      <c r="AL9" s="306">
        <f>SUM(AL2:AL8)</f>
        <v>48.660000000000004</v>
      </c>
      <c r="AM9" s="62">
        <f>SUM(AM2:AM8)</f>
        <v>49778032.270000003</v>
      </c>
      <c r="AN9" s="306">
        <f>SUM(AN2:AN8)</f>
        <v>48.6</v>
      </c>
    </row>
    <row r="10" spans="1:40" ht="47.25">
      <c r="A10" s="64" t="s">
        <v>23</v>
      </c>
      <c r="B10" s="65" t="s">
        <v>24</v>
      </c>
      <c r="C10" s="224">
        <v>4104000</v>
      </c>
      <c r="D10" s="200">
        <v>4.03</v>
      </c>
      <c r="E10" s="224">
        <v>4104000</v>
      </c>
      <c r="F10" s="200">
        <v>4.03</v>
      </c>
      <c r="G10" s="224">
        <v>4104000</v>
      </c>
      <c r="H10" s="200">
        <v>4.03</v>
      </c>
      <c r="I10" s="224">
        <v>4104000</v>
      </c>
      <c r="J10" s="200">
        <v>4.0199999999999996</v>
      </c>
      <c r="K10" s="224">
        <v>4104000</v>
      </c>
      <c r="L10" s="200">
        <v>4.0200000000000005</v>
      </c>
      <c r="M10" s="266">
        <v>4104000</v>
      </c>
      <c r="N10" s="230">
        <v>4.03</v>
      </c>
      <c r="O10" s="266">
        <v>4104000</v>
      </c>
      <c r="P10" s="230">
        <v>4.03</v>
      </c>
      <c r="Q10" s="277">
        <v>4104000</v>
      </c>
      <c r="R10" s="277">
        <v>4.0199999999999996</v>
      </c>
      <c r="S10" s="266">
        <v>4104000</v>
      </c>
      <c r="T10" s="230">
        <v>4.03</v>
      </c>
      <c r="U10" s="266">
        <v>4104000</v>
      </c>
      <c r="V10" s="230">
        <v>4.0199999999999996</v>
      </c>
      <c r="W10" s="266">
        <v>4104000</v>
      </c>
      <c r="X10" s="230">
        <v>4.0199999999999996</v>
      </c>
      <c r="Y10" s="266">
        <v>4104000</v>
      </c>
      <c r="Z10" s="230">
        <v>4.0199999999999996</v>
      </c>
      <c r="AA10" s="266">
        <v>4104000</v>
      </c>
      <c r="AB10" s="230">
        <v>4.0199999999999996</v>
      </c>
      <c r="AC10" s="224">
        <v>4104000</v>
      </c>
      <c r="AD10" s="200">
        <v>4.0199999999999996</v>
      </c>
      <c r="AE10" s="224">
        <v>4104000</v>
      </c>
      <c r="AF10" s="200">
        <v>4.01</v>
      </c>
      <c r="AG10" s="224">
        <v>4104000</v>
      </c>
      <c r="AH10" s="200">
        <v>4.0199999999999996</v>
      </c>
      <c r="AI10" s="224">
        <v>4104000</v>
      </c>
      <c r="AJ10" s="200">
        <v>4.01</v>
      </c>
      <c r="AK10" s="316">
        <v>4104000</v>
      </c>
      <c r="AL10" s="315">
        <v>4.01</v>
      </c>
      <c r="AM10" s="317">
        <v>4104000</v>
      </c>
      <c r="AN10" s="315">
        <v>4.01</v>
      </c>
    </row>
    <row r="11" spans="1:40" ht="47.25">
      <c r="A11" s="68" t="s">
        <v>25</v>
      </c>
      <c r="B11" s="69" t="s">
        <v>26</v>
      </c>
      <c r="C11" s="224">
        <v>3901655.59</v>
      </c>
      <c r="D11" s="200">
        <v>3.83</v>
      </c>
      <c r="E11" s="224">
        <v>3904247.94</v>
      </c>
      <c r="F11" s="200">
        <v>3.83</v>
      </c>
      <c r="G11" s="224">
        <v>3906840.29</v>
      </c>
      <c r="H11" s="200">
        <v>3.84</v>
      </c>
      <c r="I11" s="224">
        <v>3914617.33</v>
      </c>
      <c r="J11" s="200">
        <v>3.84</v>
      </c>
      <c r="K11" s="224">
        <v>3917209.67</v>
      </c>
      <c r="L11" s="200">
        <v>3.84</v>
      </c>
      <c r="M11" s="266">
        <v>3919802.02</v>
      </c>
      <c r="N11" s="230">
        <v>3.85</v>
      </c>
      <c r="O11" s="266">
        <v>3922394.36</v>
      </c>
      <c r="P11" s="230">
        <v>3.86</v>
      </c>
      <c r="Q11" s="277">
        <v>3924986.71</v>
      </c>
      <c r="R11" s="277">
        <v>3.85</v>
      </c>
      <c r="S11" s="266">
        <v>3932763.75</v>
      </c>
      <c r="T11" s="230">
        <v>3.86</v>
      </c>
      <c r="U11" s="266">
        <v>3935356.1</v>
      </c>
      <c r="V11" s="230">
        <v>3.85</v>
      </c>
      <c r="W11" s="266">
        <v>3937948.44</v>
      </c>
      <c r="X11" s="230">
        <v>3.86</v>
      </c>
      <c r="Y11" s="266">
        <v>3940540.79</v>
      </c>
      <c r="Z11" s="230">
        <v>3.86</v>
      </c>
      <c r="AA11" s="266">
        <v>3943133.14</v>
      </c>
      <c r="AB11" s="230">
        <v>3.86</v>
      </c>
      <c r="AC11" s="224">
        <v>3950910.18</v>
      </c>
      <c r="AD11" s="200">
        <v>3.87</v>
      </c>
      <c r="AE11" s="224">
        <v>3953502.52</v>
      </c>
      <c r="AF11" s="200">
        <v>3.87</v>
      </c>
      <c r="AG11" s="224">
        <v>3958687.22</v>
      </c>
      <c r="AH11" s="200">
        <v>3.87</v>
      </c>
      <c r="AI11" s="224">
        <v>3961279.56</v>
      </c>
      <c r="AJ11" s="200">
        <v>3.87</v>
      </c>
      <c r="AK11" s="316">
        <v>3969056.6</v>
      </c>
      <c r="AL11" s="315">
        <v>3.88</v>
      </c>
      <c r="AM11" s="317">
        <v>3971648.95</v>
      </c>
      <c r="AN11" s="315">
        <v>3.88</v>
      </c>
    </row>
    <row r="12" spans="1:40" ht="47.25">
      <c r="A12" s="70" t="s">
        <v>27</v>
      </c>
      <c r="B12" s="71" t="s">
        <v>26</v>
      </c>
      <c r="C12" s="224">
        <v>315000</v>
      </c>
      <c r="D12" s="200">
        <v>0.31</v>
      </c>
      <c r="E12" s="224">
        <v>315000</v>
      </c>
      <c r="F12" s="200">
        <v>0.31</v>
      </c>
      <c r="G12" s="224">
        <v>315000</v>
      </c>
      <c r="H12" s="200">
        <v>0.31</v>
      </c>
      <c r="I12" s="224">
        <v>315000</v>
      </c>
      <c r="J12" s="200">
        <v>0.31</v>
      </c>
      <c r="K12" s="224">
        <v>315000</v>
      </c>
      <c r="L12" s="200">
        <v>0.31</v>
      </c>
      <c r="M12" s="266">
        <v>315000</v>
      </c>
      <c r="N12" s="230">
        <v>0.31</v>
      </c>
      <c r="O12" s="266">
        <v>315000</v>
      </c>
      <c r="P12" s="230">
        <v>0.31</v>
      </c>
      <c r="Q12" s="277">
        <v>315000</v>
      </c>
      <c r="R12" s="277">
        <v>0.31</v>
      </c>
      <c r="S12" s="266">
        <v>315000</v>
      </c>
      <c r="T12" s="230">
        <v>0.31</v>
      </c>
      <c r="U12" s="266">
        <v>315000</v>
      </c>
      <c r="V12" s="230">
        <v>0.31</v>
      </c>
      <c r="W12" s="266">
        <v>315000</v>
      </c>
      <c r="X12" s="230">
        <v>0.31</v>
      </c>
      <c r="Y12" s="266">
        <v>315000</v>
      </c>
      <c r="Z12" s="230">
        <v>0.31</v>
      </c>
      <c r="AA12" s="266">
        <v>315000</v>
      </c>
      <c r="AB12" s="230">
        <v>0.31</v>
      </c>
      <c r="AC12" s="224">
        <v>315000</v>
      </c>
      <c r="AD12" s="200">
        <v>0.31</v>
      </c>
      <c r="AE12" s="224">
        <v>315000</v>
      </c>
      <c r="AF12" s="200">
        <v>0.31</v>
      </c>
      <c r="AG12" s="224">
        <v>315000</v>
      </c>
      <c r="AH12" s="200">
        <v>0.31</v>
      </c>
      <c r="AI12" s="224">
        <v>315000</v>
      </c>
      <c r="AJ12" s="200">
        <v>0.31</v>
      </c>
      <c r="AK12" s="316">
        <v>315000</v>
      </c>
      <c r="AL12" s="315">
        <v>0.31</v>
      </c>
      <c r="AM12" s="317">
        <v>315000</v>
      </c>
      <c r="AN12" s="315">
        <v>0.31</v>
      </c>
    </row>
    <row r="13" spans="1:40" ht="31.5">
      <c r="A13" s="64" t="s">
        <v>28</v>
      </c>
      <c r="B13" s="65" t="s">
        <v>29</v>
      </c>
      <c r="C13" s="224">
        <v>4078992.91</v>
      </c>
      <c r="D13" s="200">
        <v>4</v>
      </c>
      <c r="E13" s="224">
        <v>4081769.9</v>
      </c>
      <c r="F13" s="200">
        <v>4</v>
      </c>
      <c r="G13" s="224">
        <v>4084546.89</v>
      </c>
      <c r="H13" s="200">
        <v>4.01</v>
      </c>
      <c r="I13" s="224">
        <v>4092877.86</v>
      </c>
      <c r="J13" s="200">
        <v>4.01</v>
      </c>
      <c r="K13" s="224">
        <v>4095654.85</v>
      </c>
      <c r="L13" s="200">
        <v>4.0199999999999996</v>
      </c>
      <c r="M13" s="266">
        <v>4098431.84</v>
      </c>
      <c r="N13" s="230">
        <v>4.0199999999999996</v>
      </c>
      <c r="O13" s="266">
        <v>4101208.83</v>
      </c>
      <c r="P13" s="230">
        <v>4.03</v>
      </c>
      <c r="Q13" s="277">
        <v>4103985.82</v>
      </c>
      <c r="R13" s="277">
        <v>4.0199999999999996</v>
      </c>
      <c r="S13" s="266">
        <v>4112316.79</v>
      </c>
      <c r="T13" s="230">
        <v>4.03</v>
      </c>
      <c r="U13" s="266">
        <v>4115093.78</v>
      </c>
      <c r="V13" s="230">
        <v>4.03</v>
      </c>
      <c r="W13" s="266">
        <v>4117870.77</v>
      </c>
      <c r="X13" s="230">
        <v>4.03</v>
      </c>
      <c r="Y13" s="266">
        <v>4120647.76</v>
      </c>
      <c r="Z13" s="230">
        <v>4.03</v>
      </c>
      <c r="AA13" s="266">
        <v>4123424.75</v>
      </c>
      <c r="AB13" s="230">
        <v>4.04</v>
      </c>
      <c r="AC13" s="224">
        <v>4131755.72</v>
      </c>
      <c r="AD13" s="200">
        <v>4.05</v>
      </c>
      <c r="AE13" s="224">
        <v>4134532.71</v>
      </c>
      <c r="AF13" s="200">
        <v>4.04</v>
      </c>
      <c r="AG13" s="224">
        <v>4140106.96</v>
      </c>
      <c r="AH13" s="200">
        <v>4.05</v>
      </c>
      <c r="AI13" s="224">
        <v>4056797.26</v>
      </c>
      <c r="AJ13" s="200">
        <v>3.96</v>
      </c>
      <c r="AK13" s="316">
        <v>4065128.23</v>
      </c>
      <c r="AL13" s="315">
        <v>3.97</v>
      </c>
      <c r="AM13" s="317">
        <v>4067905.22</v>
      </c>
      <c r="AN13" s="315">
        <v>3.97</v>
      </c>
    </row>
    <row r="14" spans="1:40">
      <c r="A14" s="73" t="s">
        <v>32</v>
      </c>
      <c r="B14" s="74" t="s">
        <v>33</v>
      </c>
      <c r="C14" s="243">
        <v>4135027.2</v>
      </c>
      <c r="D14" s="240">
        <v>4.0599999999999996</v>
      </c>
      <c r="E14" s="243">
        <v>4136780.8</v>
      </c>
      <c r="F14" s="240">
        <v>4.0599999999999996</v>
      </c>
      <c r="G14" s="243">
        <v>4138534.4</v>
      </c>
      <c r="H14" s="240">
        <v>4.0599999999999996</v>
      </c>
      <c r="I14" s="243">
        <v>4143795.2</v>
      </c>
      <c r="J14" s="240">
        <v>4.0599999999999996</v>
      </c>
      <c r="K14" s="243">
        <v>4145548.8</v>
      </c>
      <c r="L14" s="240">
        <v>4.07</v>
      </c>
      <c r="M14" s="266">
        <v>4147302.3999999999</v>
      </c>
      <c r="N14" s="230">
        <v>4.07</v>
      </c>
      <c r="O14" s="266">
        <v>4149056</v>
      </c>
      <c r="P14" s="230">
        <v>4.08</v>
      </c>
      <c r="Q14" s="277">
        <v>4150809.6</v>
      </c>
      <c r="R14" s="277">
        <v>4.07</v>
      </c>
      <c r="S14" s="266">
        <v>4156070.4</v>
      </c>
      <c r="T14" s="230">
        <v>4.08</v>
      </c>
      <c r="U14" s="266">
        <v>4157824</v>
      </c>
      <c r="V14" s="230">
        <v>4.07</v>
      </c>
      <c r="W14" s="266">
        <v>4159577.6</v>
      </c>
      <c r="X14" s="230">
        <v>4.08</v>
      </c>
      <c r="Y14" s="266">
        <v>4161320</v>
      </c>
      <c r="Z14" s="230">
        <v>4.08</v>
      </c>
      <c r="AA14" s="266">
        <v>4163073.6</v>
      </c>
      <c r="AB14" s="230">
        <v>4.07</v>
      </c>
      <c r="AC14" s="299"/>
      <c r="AD14" s="300"/>
      <c r="AE14" s="299"/>
      <c r="AF14" s="300"/>
      <c r="AG14" s="299"/>
      <c r="AH14" s="300"/>
      <c r="AI14" s="299"/>
      <c r="AJ14" s="300"/>
      <c r="AK14" s="299"/>
      <c r="AL14" s="309"/>
      <c r="AM14" s="299"/>
      <c r="AN14" s="309"/>
    </row>
    <row r="15" spans="1:40">
      <c r="A15" s="64" t="s">
        <v>34</v>
      </c>
      <c r="B15" s="65" t="s">
        <v>35</v>
      </c>
      <c r="C15" s="243">
        <v>4212323.5999999996</v>
      </c>
      <c r="D15" s="240">
        <v>4.13</v>
      </c>
      <c r="E15" s="243">
        <v>4215131.6900000004</v>
      </c>
      <c r="F15" s="240">
        <v>4.1399999999999997</v>
      </c>
      <c r="G15" s="243">
        <v>4217939.78</v>
      </c>
      <c r="H15" s="240">
        <v>4.1399999999999997</v>
      </c>
      <c r="I15" s="243">
        <v>4226364.05</v>
      </c>
      <c r="J15" s="240">
        <v>4.1399999999999997</v>
      </c>
      <c r="K15" s="243">
        <v>4229172.1399999997</v>
      </c>
      <c r="L15" s="240">
        <v>4.1500000000000004</v>
      </c>
      <c r="M15" s="266">
        <v>4231980.2300000004</v>
      </c>
      <c r="N15" s="230">
        <v>4.1500000000000004</v>
      </c>
      <c r="O15" s="266">
        <v>4234788.32</v>
      </c>
      <c r="P15" s="230">
        <v>4.16</v>
      </c>
      <c r="Q15" s="277">
        <v>4237596.41</v>
      </c>
      <c r="R15" s="277">
        <v>4.16</v>
      </c>
      <c r="S15" s="266">
        <v>4246020.68</v>
      </c>
      <c r="T15" s="230">
        <v>4.17</v>
      </c>
      <c r="U15" s="266">
        <v>4248828.7699999996</v>
      </c>
      <c r="V15" s="230">
        <v>4.16</v>
      </c>
      <c r="W15" s="266">
        <v>4251636.8600000003</v>
      </c>
      <c r="X15" s="230">
        <v>4.17</v>
      </c>
      <c r="Y15" s="266">
        <v>4254444.95</v>
      </c>
      <c r="Z15" s="230">
        <v>4.17</v>
      </c>
      <c r="AA15" s="266">
        <v>4257253.04</v>
      </c>
      <c r="AB15" s="230">
        <v>4.17</v>
      </c>
      <c r="AC15" s="224">
        <v>4265677.3099999996</v>
      </c>
      <c r="AD15" s="200">
        <v>4.18</v>
      </c>
      <c r="AE15" s="224">
        <v>4268485.4000000004</v>
      </c>
      <c r="AF15" s="200">
        <v>4.17</v>
      </c>
      <c r="AG15" s="224">
        <v>4274101.58</v>
      </c>
      <c r="AH15" s="200">
        <v>4.18</v>
      </c>
      <c r="AI15" s="224">
        <v>4276909.67</v>
      </c>
      <c r="AJ15" s="200">
        <v>4.17</v>
      </c>
      <c r="AK15" s="317">
        <v>4285333.9400000004</v>
      </c>
      <c r="AL15" s="315">
        <v>4.1800000000000006</v>
      </c>
      <c r="AM15" s="317">
        <v>4288142.03</v>
      </c>
      <c r="AN15" s="315">
        <v>4.1900000000000004</v>
      </c>
    </row>
    <row r="16" spans="1:40" ht="16.5" thickBot="1">
      <c r="A16" s="64" t="s">
        <v>38</v>
      </c>
      <c r="B16" s="65" t="s">
        <v>39</v>
      </c>
      <c r="C16" s="243">
        <v>4026523.2</v>
      </c>
      <c r="D16" s="240">
        <v>3.95</v>
      </c>
      <c r="E16" s="243">
        <v>4027728.8</v>
      </c>
      <c r="F16" s="240">
        <v>3.95</v>
      </c>
      <c r="G16" s="243">
        <v>4028934.4</v>
      </c>
      <c r="H16" s="240">
        <v>3.96</v>
      </c>
      <c r="I16" s="243">
        <v>4032551.2</v>
      </c>
      <c r="J16" s="240">
        <v>3.95</v>
      </c>
      <c r="K16" s="243">
        <v>4033756.8</v>
      </c>
      <c r="L16" s="240">
        <v>3.96</v>
      </c>
      <c r="M16" s="266">
        <v>4034962.4</v>
      </c>
      <c r="N16" s="230">
        <v>3.96</v>
      </c>
      <c r="O16" s="266">
        <v>4036168</v>
      </c>
      <c r="P16" s="230">
        <v>3.97</v>
      </c>
      <c r="Q16" s="277">
        <v>4037373.6</v>
      </c>
      <c r="R16" s="277">
        <v>3.96</v>
      </c>
      <c r="S16" s="266">
        <v>4040990.4</v>
      </c>
      <c r="T16" s="230">
        <v>3.9600000000000004</v>
      </c>
      <c r="U16" s="266">
        <v>4042196</v>
      </c>
      <c r="V16" s="230">
        <v>3.95</v>
      </c>
      <c r="W16" s="266">
        <v>4043401.6</v>
      </c>
      <c r="X16" s="230">
        <v>3.95</v>
      </c>
      <c r="Y16" s="266">
        <v>4044607.2</v>
      </c>
      <c r="Z16" s="230">
        <v>3.95</v>
      </c>
      <c r="AA16" s="266">
        <v>4045812.8</v>
      </c>
      <c r="AB16" s="230">
        <v>3.95</v>
      </c>
      <c r="AC16" s="224">
        <v>4049429.6</v>
      </c>
      <c r="AD16" s="200">
        <v>3.97</v>
      </c>
      <c r="AE16" s="224">
        <v>4050635.2</v>
      </c>
      <c r="AF16" s="200">
        <v>3.96</v>
      </c>
      <c r="AG16" s="224">
        <v>4053046.4</v>
      </c>
      <c r="AH16" s="200">
        <v>3.97</v>
      </c>
      <c r="AI16" s="224">
        <v>4054252</v>
      </c>
      <c r="AJ16" s="200">
        <v>3.96</v>
      </c>
      <c r="AK16" s="317">
        <v>4057868.8</v>
      </c>
      <c r="AL16" s="315">
        <v>3.96</v>
      </c>
      <c r="AM16" s="317">
        <v>4059074.4</v>
      </c>
      <c r="AN16" s="315">
        <v>3.96</v>
      </c>
    </row>
    <row r="17" spans="1:40" ht="16.5" thickBot="1">
      <c r="A17" s="1022" t="s">
        <v>40</v>
      </c>
      <c r="B17" s="1023"/>
      <c r="C17" s="76">
        <f t="shared" ref="C17:H17" si="5">SUM(C10:C16)</f>
        <v>24773522.499999996</v>
      </c>
      <c r="D17" s="76">
        <f t="shared" si="5"/>
        <v>24.31</v>
      </c>
      <c r="E17" s="76">
        <f t="shared" si="5"/>
        <v>24784659.130000003</v>
      </c>
      <c r="F17" s="76">
        <f t="shared" si="5"/>
        <v>24.32</v>
      </c>
      <c r="G17" s="76">
        <f t="shared" si="5"/>
        <v>24795795.759999998</v>
      </c>
      <c r="H17" s="76">
        <f t="shared" si="5"/>
        <v>24.35</v>
      </c>
      <c r="I17" s="76">
        <f t="shared" ref="I17:N17" si="6">SUM(I10:I16)</f>
        <v>24829205.640000001</v>
      </c>
      <c r="J17" s="76">
        <f t="shared" si="6"/>
        <v>24.33</v>
      </c>
      <c r="K17" s="76">
        <f t="shared" si="6"/>
        <v>24840342.260000002</v>
      </c>
      <c r="L17" s="76">
        <f t="shared" si="6"/>
        <v>24.369999999999997</v>
      </c>
      <c r="M17" s="76">
        <f t="shared" si="6"/>
        <v>24851478.890000001</v>
      </c>
      <c r="N17" s="76">
        <f t="shared" si="6"/>
        <v>24.39</v>
      </c>
      <c r="O17" s="76">
        <f t="shared" ref="O17:T17" si="7">SUM(O10:O16)</f>
        <v>24862615.509999998</v>
      </c>
      <c r="P17" s="76">
        <f t="shared" si="7"/>
        <v>24.44</v>
      </c>
      <c r="Q17" s="76">
        <f t="shared" si="7"/>
        <v>24873752.140000001</v>
      </c>
      <c r="R17" s="76">
        <f t="shared" si="7"/>
        <v>24.39</v>
      </c>
      <c r="S17" s="76">
        <f t="shared" si="7"/>
        <v>24907162.019999996</v>
      </c>
      <c r="T17" s="76">
        <f t="shared" si="7"/>
        <v>24.440000000000005</v>
      </c>
      <c r="U17" s="76">
        <f t="shared" ref="U17:AB17" si="8">SUM(U10:U16)</f>
        <v>24918298.649999999</v>
      </c>
      <c r="V17" s="76">
        <f t="shared" si="8"/>
        <v>24.39</v>
      </c>
      <c r="W17" s="76">
        <f t="shared" si="8"/>
        <v>24929435.27</v>
      </c>
      <c r="X17" s="76">
        <f t="shared" si="8"/>
        <v>24.419999999999998</v>
      </c>
      <c r="Y17" s="76">
        <f t="shared" si="8"/>
        <v>24940560.699999999</v>
      </c>
      <c r="Z17" s="76">
        <f t="shared" si="8"/>
        <v>24.419999999999998</v>
      </c>
      <c r="AA17" s="76">
        <f t="shared" si="8"/>
        <v>24951697.330000002</v>
      </c>
      <c r="AB17" s="76">
        <f t="shared" si="8"/>
        <v>24.419999999999998</v>
      </c>
      <c r="AC17" s="76">
        <f t="shared" ref="AC17:AJ17" si="9">SUM(AC10:AC16)</f>
        <v>20816772.810000002</v>
      </c>
      <c r="AD17" s="76">
        <f t="shared" si="9"/>
        <v>20.399999999999999</v>
      </c>
      <c r="AE17" s="76">
        <f t="shared" si="9"/>
        <v>20826155.830000002</v>
      </c>
      <c r="AF17" s="76">
        <f t="shared" si="9"/>
        <v>20.36</v>
      </c>
      <c r="AG17" s="76">
        <f t="shared" si="9"/>
        <v>20844942.159999996</v>
      </c>
      <c r="AH17" s="76">
        <f t="shared" si="9"/>
        <v>20.399999999999999</v>
      </c>
      <c r="AI17" s="76">
        <f t="shared" si="9"/>
        <v>20768238.490000002</v>
      </c>
      <c r="AJ17" s="76">
        <f t="shared" si="9"/>
        <v>20.28</v>
      </c>
      <c r="AK17" s="76">
        <f>SUM(AK10:AK16)</f>
        <v>20796387.57</v>
      </c>
      <c r="AL17" s="308">
        <f>SUM(AL10:AL16)</f>
        <v>20.310000000000002</v>
      </c>
      <c r="AM17" s="76">
        <f>SUM(AM10:AM16)</f>
        <v>20805770.599999998</v>
      </c>
      <c r="AN17" s="308">
        <f>SUM(AN10:AN16)</f>
        <v>20.32</v>
      </c>
    </row>
    <row r="18" spans="1:40" ht="32.25" thickBot="1">
      <c r="A18" s="77" t="s">
        <v>41</v>
      </c>
      <c r="B18" s="78" t="s">
        <v>42</v>
      </c>
      <c r="C18" s="79"/>
      <c r="D18" s="80"/>
      <c r="E18" s="79"/>
      <c r="F18" s="80"/>
      <c r="G18" s="79"/>
      <c r="H18" s="80"/>
      <c r="I18" s="79"/>
      <c r="J18" s="80"/>
      <c r="K18" s="79"/>
      <c r="L18" s="80"/>
      <c r="M18" s="79"/>
      <c r="N18" s="80"/>
      <c r="O18" s="79"/>
      <c r="P18" s="80"/>
      <c r="Q18" s="278"/>
      <c r="R18" s="278"/>
      <c r="S18" s="79"/>
      <c r="T18" s="80"/>
      <c r="U18" s="79"/>
      <c r="V18" s="80"/>
      <c r="W18" s="79"/>
      <c r="X18" s="80"/>
      <c r="Y18" s="79"/>
      <c r="Z18" s="80"/>
      <c r="AA18" s="79"/>
      <c r="AB18" s="80"/>
      <c r="AC18" s="79"/>
      <c r="AD18" s="80"/>
      <c r="AE18" s="79"/>
      <c r="AF18" s="80"/>
      <c r="AG18" s="79"/>
      <c r="AH18" s="80"/>
      <c r="AI18" s="79"/>
      <c r="AJ18" s="80"/>
      <c r="AK18" s="79"/>
      <c r="AL18" s="307"/>
      <c r="AM18" s="79"/>
      <c r="AN18" s="307"/>
    </row>
    <row r="19" spans="1:40" ht="16.5" thickBot="1">
      <c r="A19" s="1024" t="s">
        <v>43</v>
      </c>
      <c r="B19" s="1025"/>
      <c r="C19" s="81"/>
      <c r="D19" s="82"/>
      <c r="E19" s="81"/>
      <c r="F19" s="82"/>
      <c r="G19" s="81"/>
      <c r="H19" s="82"/>
      <c r="I19" s="81"/>
      <c r="J19" s="82"/>
      <c r="K19" s="81"/>
      <c r="L19" s="82"/>
      <c r="M19" s="81"/>
      <c r="N19" s="82"/>
      <c r="O19" s="81"/>
      <c r="P19" s="82"/>
      <c r="Q19" s="82"/>
      <c r="R19" s="82"/>
      <c r="S19" s="81"/>
      <c r="T19" s="82"/>
      <c r="U19" s="81"/>
      <c r="V19" s="82"/>
      <c r="W19" s="81"/>
      <c r="X19" s="82"/>
      <c r="Y19" s="81"/>
      <c r="Z19" s="82"/>
      <c r="AA19" s="81"/>
      <c r="AB19" s="82"/>
      <c r="AC19" s="81"/>
      <c r="AD19" s="82"/>
      <c r="AE19" s="81"/>
      <c r="AF19" s="82"/>
      <c r="AG19" s="81"/>
      <c r="AH19" s="82"/>
      <c r="AI19" s="81"/>
      <c r="AJ19" s="82"/>
      <c r="AK19" s="81"/>
      <c r="AL19" s="305"/>
      <c r="AM19" s="81"/>
      <c r="AN19" s="305"/>
    </row>
    <row r="20" spans="1:40">
      <c r="A20" s="83">
        <v>101</v>
      </c>
      <c r="B20" s="84"/>
      <c r="C20" s="85">
        <v>550495</v>
      </c>
      <c r="D20" s="86">
        <v>0.54</v>
      </c>
      <c r="E20" s="85">
        <v>550495</v>
      </c>
      <c r="F20" s="86">
        <v>0.54</v>
      </c>
      <c r="G20" s="85">
        <v>550495</v>
      </c>
      <c r="H20" s="86">
        <v>0.54</v>
      </c>
      <c r="I20" s="85">
        <v>550495</v>
      </c>
      <c r="J20" s="86">
        <v>0.54</v>
      </c>
      <c r="K20" s="85">
        <v>550495</v>
      </c>
      <c r="L20" s="86">
        <v>0.54</v>
      </c>
      <c r="M20" s="85">
        <v>550495</v>
      </c>
      <c r="N20" s="86">
        <v>0.54</v>
      </c>
      <c r="O20" s="85">
        <v>550495</v>
      </c>
      <c r="P20" s="86">
        <v>0.54</v>
      </c>
      <c r="Q20" s="279">
        <v>550495</v>
      </c>
      <c r="R20" s="279">
        <v>0.54</v>
      </c>
      <c r="S20" s="85">
        <v>550495</v>
      </c>
      <c r="T20" s="86">
        <v>0.54</v>
      </c>
      <c r="U20" s="85">
        <v>550495</v>
      </c>
      <c r="V20" s="86">
        <v>0.54</v>
      </c>
      <c r="W20" s="85">
        <v>550495</v>
      </c>
      <c r="X20" s="86">
        <v>0.54</v>
      </c>
      <c r="Y20" s="85">
        <v>550495</v>
      </c>
      <c r="Z20" s="86">
        <v>0.54</v>
      </c>
      <c r="AA20" s="85">
        <v>550495</v>
      </c>
      <c r="AB20" s="86">
        <v>0.54</v>
      </c>
      <c r="AC20" s="85">
        <v>550495</v>
      </c>
      <c r="AD20" s="86">
        <v>0.54</v>
      </c>
      <c r="AE20" s="85">
        <v>550495</v>
      </c>
      <c r="AF20" s="86">
        <v>0.54</v>
      </c>
      <c r="AG20" s="85">
        <v>550495</v>
      </c>
      <c r="AH20" s="86">
        <v>0.54</v>
      </c>
      <c r="AI20" s="85">
        <v>550495</v>
      </c>
      <c r="AJ20" s="86">
        <v>0.54</v>
      </c>
      <c r="AK20" s="85">
        <v>550495</v>
      </c>
      <c r="AL20" s="310">
        <v>0.54</v>
      </c>
      <c r="AM20" s="85">
        <v>550495</v>
      </c>
      <c r="AN20" s="310">
        <v>0.54</v>
      </c>
    </row>
    <row r="21" spans="1:40">
      <c r="A21" s="87">
        <v>99</v>
      </c>
      <c r="B21" s="88"/>
      <c r="C21" s="89">
        <v>1188246.17</v>
      </c>
      <c r="D21" s="90">
        <v>1.1599999999999999</v>
      </c>
      <c r="E21" s="89">
        <v>1188246.17</v>
      </c>
      <c r="F21" s="90">
        <v>1.1599999999999999</v>
      </c>
      <c r="G21" s="89">
        <v>1188246.17</v>
      </c>
      <c r="H21" s="90">
        <v>1.17</v>
      </c>
      <c r="I21" s="89">
        <v>1188246.17</v>
      </c>
      <c r="J21" s="90">
        <v>1.1599999999999999</v>
      </c>
      <c r="K21" s="89">
        <v>1188246.17</v>
      </c>
      <c r="L21" s="90">
        <v>1.1599999999999999</v>
      </c>
      <c r="M21" s="89">
        <v>1188246.17</v>
      </c>
      <c r="N21" s="90">
        <v>1.1599999999999999</v>
      </c>
      <c r="O21" s="89">
        <v>1188246.17</v>
      </c>
      <c r="P21" s="90">
        <v>1.17</v>
      </c>
      <c r="Q21" s="280">
        <v>1188246.17</v>
      </c>
      <c r="R21" s="280">
        <v>1.17</v>
      </c>
      <c r="S21" s="89">
        <v>1188246.17</v>
      </c>
      <c r="T21" s="90">
        <v>1.17</v>
      </c>
      <c r="U21" s="89">
        <v>1188246.17</v>
      </c>
      <c r="V21" s="90">
        <v>1.1599999999999999</v>
      </c>
      <c r="W21" s="89">
        <v>1188246.17</v>
      </c>
      <c r="X21" s="90">
        <v>1.1599999999999999</v>
      </c>
      <c r="Y21" s="89">
        <v>1188246.17</v>
      </c>
      <c r="Z21" s="90">
        <v>1.1599999999999999</v>
      </c>
      <c r="AA21" s="89">
        <v>1188246.17</v>
      </c>
      <c r="AB21" s="90">
        <v>1.1599999999999999</v>
      </c>
      <c r="AC21" s="89">
        <v>1188246.17</v>
      </c>
      <c r="AD21" s="90">
        <v>1.1599999999999999</v>
      </c>
      <c r="AE21" s="89">
        <v>1188246.17</v>
      </c>
      <c r="AF21" s="90">
        <v>1.1599999999999999</v>
      </c>
      <c r="AG21" s="89">
        <v>1188246.17</v>
      </c>
      <c r="AH21" s="90">
        <v>1.1599999999999999</v>
      </c>
      <c r="AI21" s="89">
        <v>1188246.17</v>
      </c>
      <c r="AJ21" s="90">
        <v>1.1599999999999999</v>
      </c>
      <c r="AK21" s="89">
        <v>1188246.17</v>
      </c>
      <c r="AL21" s="310">
        <v>1.1599999999999999</v>
      </c>
      <c r="AM21" s="89">
        <v>1188246.17</v>
      </c>
      <c r="AN21" s="310">
        <v>1.1599999999999999</v>
      </c>
    </row>
    <row r="22" spans="1:40" ht="16.5" thickBot="1">
      <c r="A22" s="91">
        <v>109</v>
      </c>
      <c r="B22" s="92"/>
      <c r="C22" s="93">
        <v>5267242.53</v>
      </c>
      <c r="D22" s="94">
        <v>5.17</v>
      </c>
      <c r="E22" s="93">
        <v>5267242.53</v>
      </c>
      <c r="F22" s="94">
        <v>5.17</v>
      </c>
      <c r="G22" s="93">
        <v>5267242.53</v>
      </c>
      <c r="H22" s="94">
        <v>5.17</v>
      </c>
      <c r="I22" s="93">
        <v>5267242.53</v>
      </c>
      <c r="J22" s="94">
        <v>5.16</v>
      </c>
      <c r="K22" s="93">
        <v>5267242.53</v>
      </c>
      <c r="L22" s="94">
        <v>5.17</v>
      </c>
      <c r="M22" s="93">
        <v>5267242.53</v>
      </c>
      <c r="N22" s="94">
        <v>5.17</v>
      </c>
      <c r="O22" s="93">
        <v>5267242.53</v>
      </c>
      <c r="P22" s="94">
        <v>5.18</v>
      </c>
      <c r="Q22" s="281">
        <v>5267242.53</v>
      </c>
      <c r="R22" s="281">
        <v>5.16</v>
      </c>
      <c r="S22" s="93">
        <v>5267242.53</v>
      </c>
      <c r="T22" s="94">
        <v>5.17</v>
      </c>
      <c r="U22" s="93">
        <v>5267242.53</v>
      </c>
      <c r="V22" s="94">
        <v>5.15</v>
      </c>
      <c r="W22" s="93">
        <v>5267242.53</v>
      </c>
      <c r="X22" s="94">
        <v>5.16</v>
      </c>
      <c r="Y22" s="93">
        <v>5267242.53</v>
      </c>
      <c r="Z22" s="94">
        <v>5.16</v>
      </c>
      <c r="AA22" s="93">
        <v>5267242.53</v>
      </c>
      <c r="AB22" s="94">
        <v>5.15</v>
      </c>
      <c r="AC22" s="93">
        <v>5267242.53</v>
      </c>
      <c r="AD22" s="94">
        <v>5.16</v>
      </c>
      <c r="AE22" s="93">
        <v>5267242.53</v>
      </c>
      <c r="AF22" s="94">
        <v>5.15</v>
      </c>
      <c r="AG22" s="93">
        <v>5267242.53</v>
      </c>
      <c r="AH22" s="94">
        <v>5.16</v>
      </c>
      <c r="AI22" s="93">
        <v>5267242.53</v>
      </c>
      <c r="AJ22" s="94">
        <v>5.14</v>
      </c>
      <c r="AK22" s="93">
        <v>5267242.53</v>
      </c>
      <c r="AL22" s="310">
        <v>5.15</v>
      </c>
      <c r="AM22" s="93">
        <v>5267242.53</v>
      </c>
      <c r="AN22" s="310">
        <v>5.14</v>
      </c>
    </row>
    <row r="23" spans="1:40" ht="16.5" thickBot="1">
      <c r="A23" s="1026" t="s">
        <v>44</v>
      </c>
      <c r="B23" s="1027"/>
      <c r="C23" s="81">
        <f t="shared" ref="C23:H23" si="10">SUM(C20:C22)</f>
        <v>7005983.7000000002</v>
      </c>
      <c r="D23" s="95">
        <f t="shared" si="10"/>
        <v>6.87</v>
      </c>
      <c r="E23" s="81">
        <f t="shared" si="10"/>
        <v>7005983.7000000002</v>
      </c>
      <c r="F23" s="95">
        <f t="shared" si="10"/>
        <v>6.87</v>
      </c>
      <c r="G23" s="81">
        <f t="shared" si="10"/>
        <v>7005983.7000000002</v>
      </c>
      <c r="H23" s="95">
        <f t="shared" si="10"/>
        <v>6.88</v>
      </c>
      <c r="I23" s="81">
        <f t="shared" ref="I23:N23" si="11">SUM(I20:I22)</f>
        <v>7005983.7000000002</v>
      </c>
      <c r="J23" s="95">
        <f t="shared" si="11"/>
        <v>6.86</v>
      </c>
      <c r="K23" s="81">
        <f t="shared" si="11"/>
        <v>7005983.7000000002</v>
      </c>
      <c r="L23" s="95">
        <f t="shared" si="11"/>
        <v>6.87</v>
      </c>
      <c r="M23" s="81">
        <f t="shared" si="11"/>
        <v>7005983.7000000002</v>
      </c>
      <c r="N23" s="95">
        <f t="shared" si="11"/>
        <v>6.87</v>
      </c>
      <c r="O23" s="81">
        <f t="shared" ref="O23:T23" si="12">SUM(O20:O22)</f>
        <v>7005983.7000000002</v>
      </c>
      <c r="P23" s="95">
        <f t="shared" si="12"/>
        <v>6.89</v>
      </c>
      <c r="Q23" s="95">
        <f t="shared" si="12"/>
        <v>7005983.7000000002</v>
      </c>
      <c r="R23" s="95">
        <f t="shared" si="12"/>
        <v>6.87</v>
      </c>
      <c r="S23" s="81">
        <f t="shared" si="12"/>
        <v>7005983.7000000002</v>
      </c>
      <c r="T23" s="95">
        <f t="shared" si="12"/>
        <v>6.88</v>
      </c>
      <c r="U23" s="81">
        <f t="shared" ref="U23:AB23" si="13">SUM(U20:U22)</f>
        <v>7005983.7000000002</v>
      </c>
      <c r="V23" s="95">
        <f t="shared" si="13"/>
        <v>6.8500000000000005</v>
      </c>
      <c r="W23" s="81">
        <f t="shared" si="13"/>
        <v>7005983.7000000002</v>
      </c>
      <c r="X23" s="95">
        <f t="shared" si="13"/>
        <v>6.86</v>
      </c>
      <c r="Y23" s="81">
        <f t="shared" si="13"/>
        <v>7005983.7000000002</v>
      </c>
      <c r="Z23" s="95">
        <f t="shared" si="13"/>
        <v>6.86</v>
      </c>
      <c r="AA23" s="81">
        <f t="shared" si="13"/>
        <v>7005983.7000000002</v>
      </c>
      <c r="AB23" s="95">
        <f t="shared" si="13"/>
        <v>6.8500000000000005</v>
      </c>
      <c r="AC23" s="81">
        <f t="shared" ref="AC23:AJ23" si="14">SUM(AC20:AC22)</f>
        <v>7005983.7000000002</v>
      </c>
      <c r="AD23" s="95">
        <f t="shared" si="14"/>
        <v>6.86</v>
      </c>
      <c r="AE23" s="81">
        <f t="shared" si="14"/>
        <v>7005983.7000000002</v>
      </c>
      <c r="AF23" s="95">
        <f t="shared" si="14"/>
        <v>6.8500000000000005</v>
      </c>
      <c r="AG23" s="81">
        <f t="shared" si="14"/>
        <v>7005983.7000000002</v>
      </c>
      <c r="AH23" s="95">
        <f t="shared" si="14"/>
        <v>6.86</v>
      </c>
      <c r="AI23" s="81">
        <f t="shared" si="14"/>
        <v>7005983.7000000002</v>
      </c>
      <c r="AJ23" s="95">
        <f t="shared" si="14"/>
        <v>6.84</v>
      </c>
      <c r="AK23" s="81">
        <f>SUM(AK20:AK22)</f>
        <v>7005983.7000000002</v>
      </c>
      <c r="AL23" s="305">
        <f>SUM(AL20:AL22)</f>
        <v>6.8500000000000005</v>
      </c>
      <c r="AM23" s="81">
        <f>SUM(AM20:AM22)</f>
        <v>7005983.7000000002</v>
      </c>
      <c r="AN23" s="305">
        <f>SUM(AN20:AN22)</f>
        <v>6.84</v>
      </c>
    </row>
    <row r="24" spans="1:40">
      <c r="A24" s="96" t="s">
        <v>45</v>
      </c>
      <c r="B24" s="84" t="s">
        <v>46</v>
      </c>
      <c r="C24" s="225">
        <v>8500830.1500000004</v>
      </c>
      <c r="D24" s="97">
        <v>8.34</v>
      </c>
      <c r="E24" s="47">
        <v>8240830.1500000004</v>
      </c>
      <c r="F24" s="97">
        <v>8.09</v>
      </c>
      <c r="G24" s="47">
        <v>240830.15</v>
      </c>
      <c r="H24" s="97">
        <v>0.24</v>
      </c>
      <c r="I24" s="47">
        <v>240830.15</v>
      </c>
      <c r="J24" s="97">
        <v>0.24</v>
      </c>
      <c r="K24" s="47">
        <v>7610.95</v>
      </c>
      <c r="L24" s="97">
        <v>0.01</v>
      </c>
      <c r="M24" s="267">
        <v>610.95000000000005</v>
      </c>
      <c r="N24" s="97">
        <v>0</v>
      </c>
      <c r="O24" s="267">
        <v>639.66999999999996</v>
      </c>
      <c r="P24" s="97">
        <v>0</v>
      </c>
      <c r="Q24" s="282">
        <v>639.66999999999996</v>
      </c>
      <c r="R24" s="282">
        <v>0</v>
      </c>
      <c r="S24" s="267">
        <v>639.66999999999996</v>
      </c>
      <c r="T24" s="97">
        <v>0</v>
      </c>
      <c r="U24" s="267">
        <v>10336</v>
      </c>
      <c r="V24" s="97">
        <v>0.01</v>
      </c>
      <c r="W24" s="47">
        <v>336</v>
      </c>
      <c r="X24" s="97">
        <v>0</v>
      </c>
      <c r="Y24" s="47">
        <v>336</v>
      </c>
      <c r="Z24" s="97">
        <v>0</v>
      </c>
      <c r="AA24" s="47">
        <v>61556.68</v>
      </c>
      <c r="AB24" s="97">
        <v>0.06</v>
      </c>
      <c r="AC24" s="47">
        <v>4222876.68</v>
      </c>
      <c r="AD24" s="97">
        <v>4.13</v>
      </c>
      <c r="AE24" s="47">
        <v>2876.68</v>
      </c>
      <c r="AF24" s="97">
        <v>0</v>
      </c>
      <c r="AG24" s="47">
        <v>182876.68</v>
      </c>
      <c r="AH24" s="97">
        <v>0.18</v>
      </c>
      <c r="AI24" s="47">
        <v>182876.68</v>
      </c>
      <c r="AJ24" s="97">
        <v>0.18</v>
      </c>
      <c r="AK24" s="318">
        <v>42876.68</v>
      </c>
      <c r="AL24" s="319">
        <v>0.04</v>
      </c>
      <c r="AM24" s="318">
        <v>42876.68</v>
      </c>
      <c r="AN24" s="319">
        <v>0.04</v>
      </c>
    </row>
    <row r="25" spans="1:40">
      <c r="A25" s="99" t="s">
        <v>45</v>
      </c>
      <c r="B25" s="88" t="s">
        <v>46</v>
      </c>
      <c r="C25" s="48">
        <v>16552.45</v>
      </c>
      <c r="D25" s="100">
        <v>0.02</v>
      </c>
      <c r="E25" s="47">
        <v>4629.7</v>
      </c>
      <c r="F25" s="100">
        <v>0</v>
      </c>
      <c r="G25" s="47">
        <v>4629.7</v>
      </c>
      <c r="H25" s="100">
        <v>0</v>
      </c>
      <c r="I25" s="47">
        <v>4729.7</v>
      </c>
      <c r="J25" s="100">
        <v>0</v>
      </c>
      <c r="K25" s="47">
        <v>14072.45</v>
      </c>
      <c r="L25" s="100">
        <v>0.01</v>
      </c>
      <c r="M25" s="267">
        <v>2113.9699999999998</v>
      </c>
      <c r="N25" s="100">
        <v>0</v>
      </c>
      <c r="O25" s="267">
        <v>2113.9699999999998</v>
      </c>
      <c r="P25" s="100">
        <v>0</v>
      </c>
      <c r="Q25" s="282">
        <v>7643.97</v>
      </c>
      <c r="R25" s="282">
        <v>0.01</v>
      </c>
      <c r="S25" s="267">
        <v>7643.97</v>
      </c>
      <c r="T25" s="100">
        <v>0.01</v>
      </c>
      <c r="U25" s="267">
        <v>2191.19</v>
      </c>
      <c r="V25" s="100">
        <v>0</v>
      </c>
      <c r="W25" s="47">
        <v>6908.14</v>
      </c>
      <c r="X25" s="100">
        <v>0.01</v>
      </c>
      <c r="Y25" s="47">
        <v>10900.14</v>
      </c>
      <c r="Z25" s="100">
        <v>0.01</v>
      </c>
      <c r="AA25" s="47">
        <v>10900.14</v>
      </c>
      <c r="AB25" s="100">
        <v>0.01</v>
      </c>
      <c r="AC25" s="47">
        <v>19430.14</v>
      </c>
      <c r="AD25" s="100">
        <v>0.02</v>
      </c>
      <c r="AE25" s="47">
        <v>20705.14</v>
      </c>
      <c r="AF25" s="100">
        <v>0.02</v>
      </c>
      <c r="AG25" s="47">
        <v>20705.14</v>
      </c>
      <c r="AH25" s="100">
        <v>0.02</v>
      </c>
      <c r="AI25" s="47">
        <v>20705.14</v>
      </c>
      <c r="AJ25" s="100">
        <v>0.02</v>
      </c>
      <c r="AK25" s="318">
        <v>7620.05</v>
      </c>
      <c r="AL25" s="320">
        <v>0.01</v>
      </c>
      <c r="AM25" s="318">
        <v>7620.05</v>
      </c>
      <c r="AN25" s="320">
        <v>0.01</v>
      </c>
    </row>
    <row r="26" spans="1:40">
      <c r="A26" s="101"/>
      <c r="B26" s="92"/>
      <c r="C26" s="48">
        <v>4500000</v>
      </c>
      <c r="D26" s="100">
        <v>4.41</v>
      </c>
      <c r="E26" s="48">
        <v>4500000</v>
      </c>
      <c r="F26" s="100">
        <v>4.42</v>
      </c>
      <c r="G26" s="48">
        <v>4500000</v>
      </c>
      <c r="H26" s="100">
        <v>4.42</v>
      </c>
      <c r="I26" s="48">
        <v>4500000</v>
      </c>
      <c r="J26" s="100">
        <v>4.41</v>
      </c>
      <c r="K26" s="48">
        <v>4500000</v>
      </c>
      <c r="L26" s="100">
        <v>4.42</v>
      </c>
      <c r="M26" s="48">
        <v>4500000</v>
      </c>
      <c r="N26" s="100">
        <v>4.42</v>
      </c>
      <c r="O26" s="48">
        <v>4500000</v>
      </c>
      <c r="P26" s="100">
        <v>4.42</v>
      </c>
      <c r="Q26" s="283">
        <v>4500000</v>
      </c>
      <c r="R26" s="283">
        <v>4.41</v>
      </c>
      <c r="S26" s="48">
        <v>4500000</v>
      </c>
      <c r="T26" s="100">
        <v>4.41</v>
      </c>
      <c r="U26" s="48">
        <v>4500000</v>
      </c>
      <c r="V26" s="100">
        <v>4.4000000000000004</v>
      </c>
      <c r="W26" s="48">
        <v>4500000</v>
      </c>
      <c r="X26" s="100">
        <v>4.41</v>
      </c>
      <c r="Y26" s="48">
        <v>4500000</v>
      </c>
      <c r="Z26" s="100">
        <v>4.4000000000000004</v>
      </c>
      <c r="AA26" s="48">
        <v>4500000</v>
      </c>
      <c r="AB26" s="100">
        <v>4.4000000000000004</v>
      </c>
      <c r="AC26" s="48">
        <v>4500000</v>
      </c>
      <c r="AD26" s="100">
        <v>4.41</v>
      </c>
      <c r="AE26" s="48">
        <v>4500000</v>
      </c>
      <c r="AF26" s="100">
        <v>4.4000000000000004</v>
      </c>
      <c r="AG26" s="48">
        <v>4500000</v>
      </c>
      <c r="AH26" s="100">
        <v>4.4000000000000004</v>
      </c>
      <c r="AI26" s="48">
        <v>4500000</v>
      </c>
      <c r="AJ26" s="100">
        <v>4.3899999999999997</v>
      </c>
      <c r="AK26" s="48">
        <v>4500000</v>
      </c>
      <c r="AL26" s="321">
        <v>4.4000000000000004</v>
      </c>
      <c r="AM26" s="48">
        <v>4500000</v>
      </c>
      <c r="AN26" s="321">
        <v>4.4000000000000004</v>
      </c>
    </row>
    <row r="27" spans="1:40">
      <c r="A27" s="101"/>
      <c r="B27" s="92"/>
      <c r="C27" s="48"/>
      <c r="D27" s="100"/>
      <c r="E27" s="48"/>
      <c r="F27" s="100"/>
      <c r="G27" s="48">
        <v>8000000</v>
      </c>
      <c r="H27" s="100">
        <v>7.85</v>
      </c>
      <c r="I27" s="48">
        <v>8000000</v>
      </c>
      <c r="J27" s="100">
        <v>7.84</v>
      </c>
      <c r="K27" s="48">
        <v>8000000</v>
      </c>
      <c r="L27" s="100">
        <v>7.85</v>
      </c>
      <c r="M27" s="48">
        <v>8000000</v>
      </c>
      <c r="N27" s="100">
        <v>7.85</v>
      </c>
      <c r="O27" s="48">
        <v>8000000</v>
      </c>
      <c r="P27" s="100">
        <v>7.86</v>
      </c>
      <c r="Q27" s="283">
        <v>8000000</v>
      </c>
      <c r="R27" s="283">
        <v>7.84</v>
      </c>
      <c r="S27" s="48">
        <v>8000000</v>
      </c>
      <c r="T27" s="100">
        <v>7.85</v>
      </c>
      <c r="U27" s="48">
        <v>8000000</v>
      </c>
      <c r="V27" s="100">
        <v>7.83</v>
      </c>
      <c r="W27" s="48">
        <v>8000000</v>
      </c>
      <c r="X27" s="100">
        <v>7.83</v>
      </c>
      <c r="Y27" s="48">
        <v>8000000</v>
      </c>
      <c r="Z27" s="100">
        <v>7.83</v>
      </c>
      <c r="AA27" s="48">
        <v>8000000</v>
      </c>
      <c r="AB27" s="100">
        <v>7.83</v>
      </c>
      <c r="AC27" s="48">
        <v>8000000</v>
      </c>
      <c r="AD27" s="100">
        <v>7.84</v>
      </c>
      <c r="AE27" s="48">
        <v>8000000</v>
      </c>
      <c r="AF27" s="100">
        <v>7.82</v>
      </c>
      <c r="AG27" s="48">
        <v>8000000</v>
      </c>
      <c r="AH27" s="100">
        <v>7.83</v>
      </c>
      <c r="AI27" s="48">
        <v>8000000</v>
      </c>
      <c r="AJ27" s="100">
        <v>7.81</v>
      </c>
      <c r="AK27" s="48">
        <v>8000000</v>
      </c>
      <c r="AL27" s="321">
        <v>7.81</v>
      </c>
      <c r="AM27" s="48">
        <v>8000000</v>
      </c>
      <c r="AN27" s="321">
        <v>7.81</v>
      </c>
    </row>
    <row r="28" spans="1:40" s="107" customFormat="1">
      <c r="A28" s="103"/>
      <c r="B28" s="104"/>
      <c r="C28" s="48">
        <v>3500000</v>
      </c>
      <c r="D28" s="105">
        <v>3.43</v>
      </c>
      <c r="E28" s="48">
        <v>3500000</v>
      </c>
      <c r="F28" s="105">
        <v>3.43</v>
      </c>
      <c r="G28" s="48">
        <v>3500000</v>
      </c>
      <c r="H28" s="105">
        <v>3.44</v>
      </c>
      <c r="I28" s="48">
        <v>3500000</v>
      </c>
      <c r="J28" s="105">
        <v>3.43</v>
      </c>
      <c r="K28" s="48">
        <v>3500000</v>
      </c>
      <c r="L28" s="105">
        <v>3.43</v>
      </c>
      <c r="M28" s="48">
        <v>3500000</v>
      </c>
      <c r="N28" s="105">
        <v>3.43</v>
      </c>
      <c r="O28" s="48">
        <v>3500000</v>
      </c>
      <c r="P28" s="105">
        <v>3.44</v>
      </c>
      <c r="Q28" s="284">
        <v>3500000</v>
      </c>
      <c r="R28" s="284">
        <v>3.43</v>
      </c>
      <c r="S28" s="48">
        <v>3500000</v>
      </c>
      <c r="T28" s="105">
        <v>3.43</v>
      </c>
      <c r="U28" s="48">
        <v>3500000</v>
      </c>
      <c r="V28" s="105">
        <v>3.43</v>
      </c>
      <c r="W28" s="48">
        <v>3500000</v>
      </c>
      <c r="X28" s="105">
        <v>3.43</v>
      </c>
      <c r="Y28" s="48">
        <v>3500000</v>
      </c>
      <c r="Z28" s="105">
        <v>3.43</v>
      </c>
      <c r="AA28" s="48">
        <v>3500000</v>
      </c>
      <c r="AB28" s="105">
        <v>3.43</v>
      </c>
      <c r="AC28" s="48">
        <v>3500000</v>
      </c>
      <c r="AD28" s="105">
        <v>3.43</v>
      </c>
      <c r="AE28" s="48">
        <v>3500000</v>
      </c>
      <c r="AF28" s="105">
        <v>3.42</v>
      </c>
      <c r="AG28" s="48">
        <v>3500000</v>
      </c>
      <c r="AH28" s="105">
        <v>3.43</v>
      </c>
      <c r="AI28" s="48">
        <v>3500000</v>
      </c>
      <c r="AJ28" s="105">
        <v>3.42</v>
      </c>
      <c r="AK28" s="48">
        <v>3500000</v>
      </c>
      <c r="AL28" s="321">
        <v>3.42</v>
      </c>
      <c r="AM28" s="48">
        <v>3500000</v>
      </c>
      <c r="AN28" s="321">
        <v>3.42</v>
      </c>
    </row>
    <row r="29" spans="1:40" s="107" customFormat="1">
      <c r="A29" s="103"/>
      <c r="B29" s="104"/>
      <c r="C29" s="48"/>
      <c r="D29" s="105"/>
      <c r="E29" s="48"/>
      <c r="F29" s="105"/>
      <c r="G29" s="302"/>
      <c r="H29" s="105"/>
      <c r="I29" s="302"/>
      <c r="J29" s="105"/>
      <c r="K29" s="302"/>
      <c r="L29" s="105"/>
      <c r="M29" s="302"/>
      <c r="N29" s="105"/>
      <c r="O29" s="302"/>
      <c r="P29" s="105"/>
      <c r="Q29" s="303"/>
      <c r="R29" s="303"/>
      <c r="S29" s="302"/>
      <c r="T29" s="105"/>
      <c r="U29" s="302"/>
      <c r="V29" s="105"/>
      <c r="W29" s="302"/>
      <c r="X29" s="105"/>
      <c r="Y29" s="302"/>
      <c r="Z29" s="105"/>
      <c r="AA29" s="302"/>
      <c r="AB29" s="105"/>
      <c r="AC29" s="302"/>
      <c r="AD29" s="105"/>
      <c r="AE29" s="48">
        <v>4500000</v>
      </c>
      <c r="AF29" s="105">
        <v>4.4000000000000004</v>
      </c>
      <c r="AG29" s="48">
        <v>4500000</v>
      </c>
      <c r="AH29" s="105">
        <v>4.4000000000000004</v>
      </c>
      <c r="AI29" s="48">
        <v>4500000</v>
      </c>
      <c r="AJ29" s="105">
        <v>4.3999999999999995</v>
      </c>
      <c r="AK29" s="48">
        <v>4500000</v>
      </c>
      <c r="AL29" s="321">
        <v>4.4000000000000004</v>
      </c>
      <c r="AM29" s="48">
        <v>4500000</v>
      </c>
      <c r="AN29" s="321">
        <v>4.3899999999999997</v>
      </c>
    </row>
    <row r="30" spans="1:40" ht="16.5" thickBot="1">
      <c r="A30" s="101" t="s">
        <v>47</v>
      </c>
      <c r="B30" s="92" t="s">
        <v>46</v>
      </c>
      <c r="C30" s="249">
        <v>720216.43</v>
      </c>
      <c r="D30" s="108">
        <v>0.71</v>
      </c>
      <c r="E30" s="249">
        <v>720216.43</v>
      </c>
      <c r="F30" s="108">
        <v>0.71</v>
      </c>
      <c r="G30" s="47">
        <v>720216.43</v>
      </c>
      <c r="H30" s="108">
        <v>0.71</v>
      </c>
      <c r="I30" s="47">
        <v>720216.43</v>
      </c>
      <c r="J30" s="108">
        <v>0.71</v>
      </c>
      <c r="K30" s="47">
        <v>720216.43</v>
      </c>
      <c r="L30" s="108">
        <v>0.71</v>
      </c>
      <c r="M30" s="268">
        <v>690216.43</v>
      </c>
      <c r="N30" s="108">
        <v>0.68</v>
      </c>
      <c r="O30" s="268">
        <v>690216.43</v>
      </c>
      <c r="P30" s="108">
        <v>0.68</v>
      </c>
      <c r="Q30" s="285">
        <v>690216.43</v>
      </c>
      <c r="R30" s="285">
        <v>0.68</v>
      </c>
      <c r="S30" s="268">
        <v>690216.43</v>
      </c>
      <c r="T30" s="108">
        <v>0.68</v>
      </c>
      <c r="U30" s="268">
        <v>690216.43</v>
      </c>
      <c r="V30" s="108">
        <v>0.68</v>
      </c>
      <c r="W30" s="49">
        <v>590216.43000000005</v>
      </c>
      <c r="X30" s="108">
        <v>0.57999999999999996</v>
      </c>
      <c r="Y30" s="49">
        <v>560216.43000000005</v>
      </c>
      <c r="Z30" s="108">
        <v>0.55000000000000004</v>
      </c>
      <c r="AA30" s="49">
        <v>560216.43000000005</v>
      </c>
      <c r="AB30" s="108">
        <v>0.55000000000000004</v>
      </c>
      <c r="AC30" s="49">
        <v>560216.43000000005</v>
      </c>
      <c r="AD30" s="108">
        <v>0.55000000000000004</v>
      </c>
      <c r="AE30" s="49">
        <v>280216.43</v>
      </c>
      <c r="AF30" s="108">
        <v>0.28000000000000003</v>
      </c>
      <c r="AG30" s="49">
        <v>280216.43</v>
      </c>
      <c r="AH30" s="108">
        <v>0.27</v>
      </c>
      <c r="AI30" s="49">
        <v>280216.43</v>
      </c>
      <c r="AJ30" s="108">
        <v>0.27</v>
      </c>
      <c r="AK30" s="49">
        <v>280216.43</v>
      </c>
      <c r="AL30" s="321">
        <v>0.27</v>
      </c>
      <c r="AM30" s="335">
        <v>280220.79999999999</v>
      </c>
      <c r="AN30" s="321">
        <v>0.27</v>
      </c>
    </row>
    <row r="31" spans="1:40" ht="16.5" thickBot="1">
      <c r="A31" s="1028" t="s">
        <v>44</v>
      </c>
      <c r="B31" s="1028"/>
      <c r="C31" s="82">
        <f t="shared" ref="C31:AH31" si="15">SUM(C24:C30)</f>
        <v>17237599.030000001</v>
      </c>
      <c r="D31" s="82">
        <f t="shared" si="15"/>
        <v>16.91</v>
      </c>
      <c r="E31" s="82">
        <f t="shared" si="15"/>
        <v>16965676.280000001</v>
      </c>
      <c r="F31" s="82">
        <f t="shared" si="15"/>
        <v>16.649999999999999</v>
      </c>
      <c r="G31" s="82">
        <f t="shared" si="15"/>
        <v>16965676.280000001</v>
      </c>
      <c r="H31" s="82">
        <f t="shared" si="15"/>
        <v>16.66</v>
      </c>
      <c r="I31" s="82">
        <f t="shared" si="15"/>
        <v>16965776.280000001</v>
      </c>
      <c r="J31" s="82">
        <f t="shared" si="15"/>
        <v>16.63</v>
      </c>
      <c r="K31" s="82">
        <f t="shared" si="15"/>
        <v>16741899.83</v>
      </c>
      <c r="L31" s="82">
        <f t="shared" si="15"/>
        <v>16.43</v>
      </c>
      <c r="M31" s="82">
        <f t="shared" si="15"/>
        <v>16692941.35</v>
      </c>
      <c r="N31" s="82">
        <f t="shared" si="15"/>
        <v>16.38</v>
      </c>
      <c r="O31" s="82">
        <f t="shared" si="15"/>
        <v>16692970.07</v>
      </c>
      <c r="P31" s="82">
        <f t="shared" si="15"/>
        <v>16.400000000000002</v>
      </c>
      <c r="Q31" s="82">
        <f t="shared" si="15"/>
        <v>16698500.07</v>
      </c>
      <c r="R31" s="82">
        <f t="shared" si="15"/>
        <v>16.37</v>
      </c>
      <c r="S31" s="82">
        <f t="shared" si="15"/>
        <v>16698500.07</v>
      </c>
      <c r="T31" s="82">
        <f t="shared" si="15"/>
        <v>16.38</v>
      </c>
      <c r="U31" s="82">
        <f t="shared" si="15"/>
        <v>16702743.620000001</v>
      </c>
      <c r="V31" s="82">
        <f t="shared" si="15"/>
        <v>16.350000000000001</v>
      </c>
      <c r="W31" s="82">
        <f t="shared" si="15"/>
        <v>16597460.57</v>
      </c>
      <c r="X31" s="82">
        <f t="shared" si="15"/>
        <v>16.259999999999998</v>
      </c>
      <c r="Y31" s="82">
        <f t="shared" si="15"/>
        <v>16571452.57</v>
      </c>
      <c r="Z31" s="82">
        <f t="shared" si="15"/>
        <v>16.22</v>
      </c>
      <c r="AA31" s="82">
        <f t="shared" si="15"/>
        <v>16632673.25</v>
      </c>
      <c r="AB31" s="82">
        <f t="shared" si="15"/>
        <v>16.28</v>
      </c>
      <c r="AC31" s="82">
        <f t="shared" si="15"/>
        <v>20802523.25</v>
      </c>
      <c r="AD31" s="82">
        <f t="shared" si="15"/>
        <v>20.38</v>
      </c>
      <c r="AE31" s="82">
        <f t="shared" si="15"/>
        <v>20803798.25</v>
      </c>
      <c r="AF31" s="82">
        <f t="shared" si="15"/>
        <v>20.340000000000003</v>
      </c>
      <c r="AG31" s="82">
        <f t="shared" si="15"/>
        <v>20983798.25</v>
      </c>
      <c r="AH31" s="82">
        <f t="shared" si="15"/>
        <v>20.529999999999998</v>
      </c>
      <c r="AI31" s="82">
        <f t="shared" ref="AI31:AN31" si="16">SUM(AI24:AI30)</f>
        <v>20983798.25</v>
      </c>
      <c r="AJ31" s="82">
        <f t="shared" si="16"/>
        <v>20.49</v>
      </c>
      <c r="AK31" s="82">
        <f t="shared" si="16"/>
        <v>20830713.16</v>
      </c>
      <c r="AL31" s="305">
        <f t="shared" si="16"/>
        <v>20.349999999999998</v>
      </c>
      <c r="AM31" s="82">
        <f t="shared" si="16"/>
        <v>20830717.530000001</v>
      </c>
      <c r="AN31" s="305">
        <f t="shared" si="16"/>
        <v>20.34</v>
      </c>
    </row>
    <row r="32" spans="1:40" ht="16.5" thickBot="1">
      <c r="A32" s="1029" t="s">
        <v>48</v>
      </c>
      <c r="B32" s="1030"/>
      <c r="C32" s="110"/>
      <c r="D32" s="111"/>
      <c r="E32" s="110"/>
      <c r="F32" s="111"/>
      <c r="G32" s="110"/>
      <c r="H32" s="111"/>
      <c r="I32" s="110"/>
      <c r="J32" s="111"/>
      <c r="K32" s="110"/>
      <c r="L32" s="111"/>
      <c r="M32" s="110"/>
      <c r="N32" s="111"/>
      <c r="O32" s="110"/>
      <c r="P32" s="111"/>
      <c r="Q32" s="286"/>
      <c r="R32" s="286"/>
      <c r="S32" s="110"/>
      <c r="T32" s="111"/>
      <c r="U32" s="110"/>
      <c r="V32" s="111"/>
      <c r="W32" s="110"/>
      <c r="X32" s="111"/>
      <c r="Y32" s="110"/>
      <c r="Z32" s="111"/>
      <c r="AA32" s="110"/>
      <c r="AB32" s="111"/>
      <c r="AC32" s="110"/>
      <c r="AD32" s="111"/>
      <c r="AE32" s="110"/>
      <c r="AF32" s="111"/>
      <c r="AG32" s="110"/>
      <c r="AH32" s="111"/>
      <c r="AI32" s="110"/>
      <c r="AJ32" s="111"/>
      <c r="AK32" s="110"/>
      <c r="AL32" s="322"/>
      <c r="AM32" s="110"/>
      <c r="AN32" s="322"/>
    </row>
    <row r="33" spans="1:40" ht="16.5" thickBot="1">
      <c r="A33" s="1031" t="s">
        <v>44</v>
      </c>
      <c r="B33" s="1031"/>
      <c r="C33" s="112"/>
      <c r="D33" s="113"/>
      <c r="E33" s="112"/>
      <c r="F33" s="113"/>
      <c r="G33" s="112"/>
      <c r="H33" s="113"/>
      <c r="I33" s="112"/>
      <c r="J33" s="113"/>
      <c r="K33" s="112"/>
      <c r="L33" s="113"/>
      <c r="M33" s="112"/>
      <c r="N33" s="113"/>
      <c r="O33" s="112"/>
      <c r="P33" s="113"/>
      <c r="Q33" s="113"/>
      <c r="R33" s="113"/>
      <c r="S33" s="112"/>
      <c r="T33" s="113"/>
      <c r="U33" s="112"/>
      <c r="V33" s="113"/>
      <c r="W33" s="112"/>
      <c r="X33" s="113"/>
      <c r="Y33" s="112"/>
      <c r="Z33" s="113"/>
      <c r="AA33" s="112"/>
      <c r="AB33" s="113"/>
      <c r="AC33" s="112"/>
      <c r="AD33" s="113"/>
      <c r="AE33" s="112"/>
      <c r="AF33" s="113"/>
      <c r="AG33" s="112"/>
      <c r="AH33" s="113"/>
      <c r="AI33" s="112"/>
      <c r="AJ33" s="113"/>
      <c r="AK33" s="112"/>
      <c r="AL33" s="323"/>
      <c r="AM33" s="112"/>
      <c r="AN33" s="323"/>
    </row>
    <row r="34" spans="1:40">
      <c r="A34" s="114" t="s">
        <v>67</v>
      </c>
      <c r="B34" s="115" t="s">
        <v>74</v>
      </c>
      <c r="C34" s="238"/>
      <c r="D34" s="226"/>
      <c r="E34" s="120">
        <v>300</v>
      </c>
      <c r="F34" s="121"/>
      <c r="G34" s="120">
        <v>300</v>
      </c>
      <c r="H34" s="121"/>
      <c r="I34" s="120">
        <v>300</v>
      </c>
      <c r="J34" s="121"/>
      <c r="K34" s="120">
        <v>300</v>
      </c>
      <c r="L34" s="121"/>
      <c r="M34" s="120">
        <v>300</v>
      </c>
      <c r="N34" s="121"/>
      <c r="O34" s="120">
        <v>300</v>
      </c>
      <c r="P34" s="121"/>
      <c r="Q34" s="287">
        <v>300</v>
      </c>
      <c r="R34" s="287"/>
      <c r="S34" s="120">
        <v>300</v>
      </c>
      <c r="T34" s="121"/>
      <c r="U34" s="120">
        <v>300</v>
      </c>
      <c r="V34" s="121"/>
      <c r="W34" s="120">
        <v>300</v>
      </c>
      <c r="X34" s="121"/>
      <c r="Y34" s="120">
        <v>300</v>
      </c>
      <c r="Z34" s="121"/>
      <c r="AA34" s="120">
        <v>300</v>
      </c>
      <c r="AB34" s="121"/>
      <c r="AC34" s="120">
        <v>300</v>
      </c>
      <c r="AD34" s="121"/>
      <c r="AE34" s="120">
        <v>300</v>
      </c>
      <c r="AF34" s="121"/>
      <c r="AG34" s="120">
        <v>300</v>
      </c>
      <c r="AH34" s="121"/>
      <c r="AI34" s="120">
        <v>300</v>
      </c>
      <c r="AJ34" s="121"/>
      <c r="AK34" s="120">
        <v>300</v>
      </c>
      <c r="AL34" s="324"/>
      <c r="AM34" s="337"/>
      <c r="AN34" s="338"/>
    </row>
    <row r="35" spans="1:40" ht="47.25">
      <c r="A35" s="122" t="s">
        <v>58</v>
      </c>
      <c r="B35" s="123" t="s">
        <v>75</v>
      </c>
      <c r="C35" s="206">
        <v>78794.52</v>
      </c>
      <c r="D35" s="124">
        <v>0.08</v>
      </c>
      <c r="E35" s="206">
        <v>79780.83</v>
      </c>
      <c r="F35" s="124">
        <v>0.08</v>
      </c>
      <c r="G35" s="206">
        <v>80767.13</v>
      </c>
      <c r="H35" s="124">
        <v>0.08</v>
      </c>
      <c r="I35" s="206">
        <v>83726.03</v>
      </c>
      <c r="J35" s="124">
        <v>0.08</v>
      </c>
      <c r="K35" s="206">
        <v>84712.33</v>
      </c>
      <c r="L35" s="124">
        <v>0.09</v>
      </c>
      <c r="M35" s="269">
        <v>85698.63</v>
      </c>
      <c r="N35" s="124">
        <v>0.09</v>
      </c>
      <c r="O35" s="271">
        <v>86684.93</v>
      </c>
      <c r="P35" s="124">
        <v>0.09</v>
      </c>
      <c r="Q35" s="288">
        <v>87671.24</v>
      </c>
      <c r="R35" s="288">
        <v>0.09</v>
      </c>
      <c r="S35" s="271">
        <v>90630.14</v>
      </c>
      <c r="T35" s="124">
        <v>0.09</v>
      </c>
      <c r="U35" s="206">
        <v>91616.44</v>
      </c>
      <c r="V35" s="124">
        <v>0.09</v>
      </c>
      <c r="W35" s="206">
        <v>92602.74</v>
      </c>
      <c r="X35" s="124">
        <v>0.09</v>
      </c>
      <c r="Y35" s="206">
        <v>93589.04</v>
      </c>
      <c r="Z35" s="124">
        <v>0.09</v>
      </c>
      <c r="AA35" s="206">
        <v>94575.35</v>
      </c>
      <c r="AB35" s="124">
        <v>0.09</v>
      </c>
      <c r="AC35" s="206">
        <v>97534.25</v>
      </c>
      <c r="AD35" s="124">
        <v>0.1</v>
      </c>
      <c r="AE35" s="206">
        <v>98520.55</v>
      </c>
      <c r="AF35" s="124">
        <v>0.1</v>
      </c>
      <c r="AG35" s="206">
        <v>100493.15</v>
      </c>
      <c r="AH35" s="124">
        <v>0.1</v>
      </c>
      <c r="AI35" s="206">
        <v>101479.46</v>
      </c>
      <c r="AJ35" s="124">
        <v>0.1</v>
      </c>
      <c r="AK35" s="339">
        <v>104438.36</v>
      </c>
      <c r="AL35" s="325">
        <v>0.1</v>
      </c>
      <c r="AM35" s="348">
        <v>105424.66</v>
      </c>
      <c r="AN35" s="325">
        <v>0.11</v>
      </c>
    </row>
    <row r="36" spans="1:40">
      <c r="A36" s="122" t="s">
        <v>33</v>
      </c>
      <c r="B36" s="123" t="s">
        <v>57</v>
      </c>
      <c r="C36" s="116"/>
      <c r="D36" s="127"/>
      <c r="E36" s="116"/>
      <c r="F36" s="127"/>
      <c r="G36" s="116"/>
      <c r="H36" s="127"/>
      <c r="I36" s="116"/>
      <c r="J36" s="127"/>
      <c r="K36" s="116"/>
      <c r="L36" s="127"/>
      <c r="M36" s="116"/>
      <c r="N36" s="127"/>
      <c r="O36" s="116"/>
      <c r="P36" s="127"/>
      <c r="Q36" s="289"/>
      <c r="R36" s="289"/>
      <c r="S36" s="116"/>
      <c r="T36" s="127"/>
      <c r="U36" s="116"/>
      <c r="V36" s="127"/>
      <c r="W36" s="116"/>
      <c r="X36" s="127"/>
      <c r="Y36" s="116"/>
      <c r="Z36" s="127"/>
      <c r="AA36" s="116"/>
      <c r="AB36" s="127"/>
      <c r="AC36" s="116"/>
      <c r="AD36" s="127"/>
      <c r="AE36" s="116"/>
      <c r="AF36" s="127"/>
      <c r="AG36" s="116"/>
      <c r="AH36" s="127"/>
      <c r="AI36" s="116"/>
      <c r="AJ36" s="127"/>
      <c r="AK36" s="116"/>
      <c r="AL36" s="326"/>
      <c r="AM36" s="116"/>
      <c r="AN36" s="326"/>
    </row>
    <row r="37" spans="1:40">
      <c r="A37" s="122" t="s">
        <v>29</v>
      </c>
      <c r="B37" s="123" t="s">
        <v>57</v>
      </c>
      <c r="C37" s="116"/>
      <c r="D37" s="127"/>
      <c r="E37" s="116"/>
      <c r="F37" s="127"/>
      <c r="G37" s="116"/>
      <c r="H37" s="127"/>
      <c r="I37" s="116"/>
      <c r="J37" s="127"/>
      <c r="K37" s="116"/>
      <c r="L37" s="127"/>
      <c r="M37" s="116"/>
      <c r="N37" s="127"/>
      <c r="O37" s="116"/>
      <c r="P37" s="127"/>
      <c r="Q37" s="289"/>
      <c r="R37" s="289"/>
      <c r="S37" s="116"/>
      <c r="T37" s="127"/>
      <c r="U37" s="116"/>
      <c r="V37" s="127"/>
      <c r="W37" s="116"/>
      <c r="X37" s="127"/>
      <c r="Y37" s="116"/>
      <c r="Z37" s="127"/>
      <c r="AA37" s="116"/>
      <c r="AB37" s="127"/>
      <c r="AC37" s="116"/>
      <c r="AD37" s="127"/>
      <c r="AE37" s="116"/>
      <c r="AF37" s="127"/>
      <c r="AG37" s="116"/>
      <c r="AH37" s="127"/>
      <c r="AI37" s="304">
        <v>86106.96</v>
      </c>
      <c r="AJ37" s="127">
        <v>0.08</v>
      </c>
      <c r="AK37" s="217">
        <v>86106.96</v>
      </c>
      <c r="AL37" s="325">
        <v>0.08</v>
      </c>
      <c r="AM37" s="349">
        <v>86106.96</v>
      </c>
      <c r="AN37" s="325">
        <v>0.09</v>
      </c>
    </row>
    <row r="38" spans="1:40">
      <c r="A38" s="122" t="s">
        <v>37</v>
      </c>
      <c r="B38" s="123" t="s">
        <v>57</v>
      </c>
      <c r="C38" s="116"/>
      <c r="D38" s="127"/>
      <c r="E38" s="116"/>
      <c r="F38" s="127"/>
      <c r="G38" s="116"/>
      <c r="H38" s="127"/>
      <c r="I38" s="116"/>
      <c r="J38" s="127"/>
      <c r="K38" s="116"/>
      <c r="L38" s="127"/>
      <c r="M38" s="116"/>
      <c r="N38" s="127"/>
      <c r="O38" s="116"/>
      <c r="P38" s="127"/>
      <c r="Q38" s="289"/>
      <c r="R38" s="289"/>
      <c r="S38" s="116"/>
      <c r="T38" s="127"/>
      <c r="U38" s="116"/>
      <c r="V38" s="127"/>
      <c r="W38" s="116"/>
      <c r="X38" s="127"/>
      <c r="Y38" s="116"/>
      <c r="Z38" s="127"/>
      <c r="AA38" s="116"/>
      <c r="AB38" s="127"/>
      <c r="AC38" s="116"/>
      <c r="AD38" s="127"/>
      <c r="AE38" s="116"/>
      <c r="AF38" s="127"/>
      <c r="AG38" s="116"/>
      <c r="AH38" s="127"/>
      <c r="AI38" s="116"/>
      <c r="AJ38" s="127"/>
      <c r="AK38" s="116"/>
      <c r="AL38" s="326"/>
      <c r="AM38" s="116"/>
      <c r="AN38" s="326"/>
    </row>
    <row r="39" spans="1:40">
      <c r="A39" s="122" t="s">
        <v>68</v>
      </c>
      <c r="B39" s="123" t="s">
        <v>57</v>
      </c>
      <c r="C39" s="128"/>
      <c r="D39" s="127"/>
      <c r="E39" s="128"/>
      <c r="F39" s="127"/>
      <c r="G39" s="128"/>
      <c r="H39" s="127"/>
      <c r="I39" s="128"/>
      <c r="J39" s="127"/>
      <c r="K39" s="128"/>
      <c r="L39" s="127"/>
      <c r="M39" s="128"/>
      <c r="N39" s="127"/>
      <c r="O39" s="128"/>
      <c r="P39" s="127"/>
      <c r="Q39" s="289"/>
      <c r="R39" s="289"/>
      <c r="S39" s="128"/>
      <c r="T39" s="127"/>
      <c r="U39" s="128"/>
      <c r="V39" s="127"/>
      <c r="W39" s="128"/>
      <c r="X39" s="127"/>
      <c r="Y39" s="128"/>
      <c r="Z39" s="127"/>
      <c r="AA39" s="128"/>
      <c r="AB39" s="127"/>
      <c r="AC39" s="128"/>
      <c r="AD39" s="127"/>
      <c r="AE39" s="128"/>
      <c r="AF39" s="127"/>
      <c r="AG39" s="128"/>
      <c r="AH39" s="127"/>
      <c r="AI39" s="128"/>
      <c r="AJ39" s="127"/>
      <c r="AK39" s="128"/>
      <c r="AL39" s="326"/>
      <c r="AM39" s="128"/>
      <c r="AN39" s="326"/>
    </row>
    <row r="40" spans="1:40">
      <c r="A40" s="129" t="s">
        <v>69</v>
      </c>
      <c r="B40" s="123" t="s">
        <v>57</v>
      </c>
      <c r="C40" s="209">
        <v>251355.96</v>
      </c>
      <c r="D40" s="124">
        <v>0.24</v>
      </c>
      <c r="E40" s="209">
        <v>251122.79</v>
      </c>
      <c r="F40" s="124">
        <v>0.24</v>
      </c>
      <c r="G40" s="209">
        <v>250889.62</v>
      </c>
      <c r="H40" s="124">
        <v>0.24</v>
      </c>
      <c r="I40" s="209">
        <v>250190.12</v>
      </c>
      <c r="J40" s="124">
        <v>0.24</v>
      </c>
      <c r="K40" s="209">
        <v>249956.95</v>
      </c>
      <c r="L40" s="124">
        <v>0.25</v>
      </c>
      <c r="M40" s="272">
        <v>249723.78</v>
      </c>
      <c r="N40" s="124">
        <v>0.25</v>
      </c>
      <c r="O40" s="272">
        <v>249490.61</v>
      </c>
      <c r="P40" s="124">
        <v>0.25</v>
      </c>
      <c r="Q40" s="288">
        <v>249257.44</v>
      </c>
      <c r="R40" s="288">
        <v>0.24</v>
      </c>
      <c r="S40" s="272">
        <v>248557.94</v>
      </c>
      <c r="T40" s="124">
        <v>0.25</v>
      </c>
      <c r="U40" s="209">
        <v>248324.77</v>
      </c>
      <c r="V40" s="124">
        <v>0.24</v>
      </c>
      <c r="W40" s="209">
        <v>248091.6</v>
      </c>
      <c r="X40" s="124">
        <v>0.24</v>
      </c>
      <c r="Y40" s="209">
        <v>247858.43</v>
      </c>
      <c r="Z40" s="124">
        <v>0.24</v>
      </c>
      <c r="AA40" s="209">
        <v>247625.26</v>
      </c>
      <c r="AB40" s="124">
        <v>0.24</v>
      </c>
      <c r="AC40" s="209">
        <v>246925.75</v>
      </c>
      <c r="AD40" s="124">
        <v>0.24</v>
      </c>
      <c r="AE40" s="209">
        <v>246692.59</v>
      </c>
      <c r="AF40" s="124">
        <v>0.24</v>
      </c>
      <c r="AG40" s="209">
        <v>246226.25</v>
      </c>
      <c r="AH40" s="124">
        <v>0.24</v>
      </c>
      <c r="AI40" s="209">
        <v>245993.08</v>
      </c>
      <c r="AJ40" s="124">
        <v>0.24</v>
      </c>
      <c r="AK40" s="341">
        <v>245293.57</v>
      </c>
      <c r="AL40" s="325">
        <v>0.24</v>
      </c>
      <c r="AM40" s="345">
        <v>245060.4</v>
      </c>
      <c r="AN40" s="325">
        <v>0.24</v>
      </c>
    </row>
    <row r="41" spans="1:40" ht="47.25">
      <c r="A41" s="122" t="s">
        <v>70</v>
      </c>
      <c r="B41" s="123" t="s">
        <v>76</v>
      </c>
      <c r="C41" s="118">
        <v>3320000</v>
      </c>
      <c r="D41" s="124">
        <v>3.26</v>
      </c>
      <c r="E41" s="118">
        <v>3320000</v>
      </c>
      <c r="F41" s="124">
        <v>3.26</v>
      </c>
      <c r="G41" s="118">
        <v>3320000</v>
      </c>
      <c r="H41" s="124">
        <v>3.26</v>
      </c>
      <c r="I41" s="118">
        <v>3320000</v>
      </c>
      <c r="J41" s="124">
        <v>3.26</v>
      </c>
      <c r="K41" s="118">
        <v>3320000</v>
      </c>
      <c r="L41" s="124">
        <v>3.26</v>
      </c>
      <c r="M41" s="118">
        <v>3320000</v>
      </c>
      <c r="N41" s="124">
        <v>3.26</v>
      </c>
      <c r="O41" s="118">
        <v>3320000</v>
      </c>
      <c r="P41" s="124">
        <v>3.26</v>
      </c>
      <c r="Q41" s="290">
        <v>3320000</v>
      </c>
      <c r="R41" s="290">
        <v>3.26</v>
      </c>
      <c r="S41" s="118">
        <v>3320000</v>
      </c>
      <c r="T41" s="124">
        <v>3.26</v>
      </c>
      <c r="U41" s="118">
        <v>3320000</v>
      </c>
      <c r="V41" s="124">
        <v>3.25</v>
      </c>
      <c r="W41" s="118">
        <v>3320000</v>
      </c>
      <c r="X41" s="124">
        <v>3.25</v>
      </c>
      <c r="Y41" s="118">
        <v>3320000</v>
      </c>
      <c r="Z41" s="124">
        <v>3.25</v>
      </c>
      <c r="AA41" s="118">
        <v>3320000</v>
      </c>
      <c r="AB41" s="124">
        <v>3.25</v>
      </c>
      <c r="AC41" s="118">
        <v>3320000</v>
      </c>
      <c r="AD41" s="124">
        <v>3.25</v>
      </c>
      <c r="AE41" s="118">
        <v>3320000</v>
      </c>
      <c r="AF41" s="124">
        <v>3.25</v>
      </c>
      <c r="AG41" s="118">
        <v>3320000</v>
      </c>
      <c r="AH41" s="124">
        <v>3.25</v>
      </c>
      <c r="AI41" s="118">
        <v>3320000</v>
      </c>
      <c r="AJ41" s="124">
        <v>3.24</v>
      </c>
      <c r="AK41" s="118">
        <v>3320000</v>
      </c>
      <c r="AL41" s="325">
        <v>3.24</v>
      </c>
      <c r="AM41" s="347">
        <v>3320000</v>
      </c>
      <c r="AN41" s="325">
        <v>3.24</v>
      </c>
    </row>
    <row r="42" spans="1:40" ht="47.25">
      <c r="A42" s="122" t="s">
        <v>71</v>
      </c>
      <c r="B42" s="123" t="s">
        <v>57</v>
      </c>
      <c r="C42" s="116"/>
      <c r="D42" s="127"/>
      <c r="E42" s="116"/>
      <c r="F42" s="127"/>
      <c r="G42" s="116"/>
      <c r="H42" s="127"/>
      <c r="I42" s="116"/>
      <c r="J42" s="127"/>
      <c r="K42" s="116"/>
      <c r="L42" s="127"/>
      <c r="M42" s="116"/>
      <c r="N42" s="127"/>
      <c r="O42" s="116"/>
      <c r="P42" s="127"/>
      <c r="Q42" s="289"/>
      <c r="R42" s="289"/>
      <c r="S42" s="116"/>
      <c r="T42" s="127"/>
      <c r="U42" s="116"/>
      <c r="V42" s="127"/>
      <c r="W42" s="116"/>
      <c r="X42" s="127"/>
      <c r="Y42" s="116"/>
      <c r="Z42" s="127"/>
      <c r="AA42" s="116"/>
      <c r="AB42" s="127"/>
      <c r="AC42" s="116"/>
      <c r="AD42" s="127"/>
      <c r="AE42" s="116"/>
      <c r="AF42" s="127"/>
      <c r="AG42" s="116"/>
      <c r="AH42" s="127"/>
      <c r="AI42" s="116"/>
      <c r="AJ42" s="127"/>
      <c r="AK42" s="116"/>
      <c r="AL42" s="326"/>
      <c r="AM42" s="116"/>
      <c r="AN42" s="326"/>
    </row>
    <row r="43" spans="1:40" ht="16.5" thickBot="1">
      <c r="A43" s="122" t="s">
        <v>49</v>
      </c>
      <c r="B43" s="123" t="s">
        <v>50</v>
      </c>
      <c r="C43" s="250">
        <v>11341.94</v>
      </c>
      <c r="D43" s="124">
        <v>0.01</v>
      </c>
      <c r="E43" s="255">
        <v>11391.94</v>
      </c>
      <c r="F43" s="124">
        <v>0.01</v>
      </c>
      <c r="G43" s="257">
        <v>11391.94</v>
      </c>
      <c r="H43" s="124">
        <v>0.01</v>
      </c>
      <c r="I43" s="257">
        <v>11391.94</v>
      </c>
      <c r="J43" s="124">
        <v>0.01</v>
      </c>
      <c r="K43" s="255">
        <v>11606.98</v>
      </c>
      <c r="L43" s="124">
        <v>0.01</v>
      </c>
      <c r="M43" s="273">
        <v>11606.98</v>
      </c>
      <c r="N43" s="124">
        <v>0.01</v>
      </c>
      <c r="O43" s="273">
        <v>11602.19</v>
      </c>
      <c r="P43" s="124">
        <v>0.01</v>
      </c>
      <c r="Q43" s="291">
        <v>11602.19</v>
      </c>
      <c r="R43" s="291">
        <v>0.01</v>
      </c>
      <c r="S43" s="273">
        <v>11602.19</v>
      </c>
      <c r="T43" s="124">
        <v>0.01</v>
      </c>
      <c r="U43" s="218">
        <v>12510.99</v>
      </c>
      <c r="V43" s="124">
        <v>0.01</v>
      </c>
      <c r="W43" s="218">
        <v>12510.99</v>
      </c>
      <c r="X43" s="124">
        <v>0.01</v>
      </c>
      <c r="Y43" s="218">
        <v>12510.99</v>
      </c>
      <c r="Z43" s="124">
        <v>0.01</v>
      </c>
      <c r="AA43" s="218">
        <v>12510.99</v>
      </c>
      <c r="AB43" s="124">
        <v>0.01</v>
      </c>
      <c r="AC43" s="218">
        <v>12510.99</v>
      </c>
      <c r="AD43" s="124">
        <v>0.01</v>
      </c>
      <c r="AE43" s="218">
        <v>12510.99</v>
      </c>
      <c r="AF43" s="124">
        <v>0.01</v>
      </c>
      <c r="AG43" s="218">
        <v>12510.99</v>
      </c>
      <c r="AH43" s="124">
        <v>0.01</v>
      </c>
      <c r="AI43" s="218">
        <v>12510.99</v>
      </c>
      <c r="AJ43" s="124">
        <v>0.01</v>
      </c>
      <c r="AK43" s="343">
        <v>18010.990000000002</v>
      </c>
      <c r="AL43" s="325">
        <v>0.02</v>
      </c>
      <c r="AM43" s="344">
        <v>10847.88</v>
      </c>
      <c r="AN43" s="325">
        <v>0.01</v>
      </c>
    </row>
    <row r="44" spans="1:40" ht="47.25">
      <c r="A44" s="122" t="s">
        <v>56</v>
      </c>
      <c r="B44" s="123" t="s">
        <v>77</v>
      </c>
      <c r="C44" s="251">
        <v>10086.299999999999</v>
      </c>
      <c r="D44" s="124">
        <v>0.01</v>
      </c>
      <c r="E44" s="251">
        <v>10086.299999999999</v>
      </c>
      <c r="F44" s="124">
        <v>0.01</v>
      </c>
      <c r="G44" s="251">
        <v>10086.299999999999</v>
      </c>
      <c r="H44" s="124">
        <v>0.01</v>
      </c>
      <c r="I44" s="251">
        <v>10086.299999999999</v>
      </c>
      <c r="J44" s="124">
        <v>0.01</v>
      </c>
      <c r="K44" s="251">
        <v>10086.299999999999</v>
      </c>
      <c r="L44" s="124">
        <v>0.01</v>
      </c>
      <c r="M44" s="251">
        <v>10086.299999999999</v>
      </c>
      <c r="N44" s="124">
        <v>0.01</v>
      </c>
      <c r="O44" s="251">
        <v>10086.299999999999</v>
      </c>
      <c r="P44" s="124">
        <v>0.01</v>
      </c>
      <c r="Q44" s="288">
        <v>10086.299999999999</v>
      </c>
      <c r="R44" s="288">
        <v>0.01</v>
      </c>
      <c r="S44" s="251">
        <v>10086.299999999999</v>
      </c>
      <c r="T44" s="124">
        <v>0.01</v>
      </c>
      <c r="U44" s="209">
        <v>15539.08</v>
      </c>
      <c r="V44" s="124">
        <v>0.02</v>
      </c>
      <c r="W44" s="209">
        <v>15539.08</v>
      </c>
      <c r="X44" s="124">
        <v>0.02</v>
      </c>
      <c r="Y44" s="209">
        <v>15539.08</v>
      </c>
      <c r="Z44" s="124">
        <v>0.02</v>
      </c>
      <c r="AA44" s="209">
        <v>15539.08</v>
      </c>
      <c r="AB44" s="124">
        <v>0.02</v>
      </c>
      <c r="AC44" s="209">
        <v>15539.08</v>
      </c>
      <c r="AD44" s="124">
        <v>0.02</v>
      </c>
      <c r="AE44" s="209">
        <v>15539.08</v>
      </c>
      <c r="AF44" s="124">
        <v>0.02</v>
      </c>
      <c r="AG44" s="209">
        <v>15539.08</v>
      </c>
      <c r="AH44" s="124">
        <v>0.02</v>
      </c>
      <c r="AI44" s="209">
        <v>15539.08</v>
      </c>
      <c r="AJ44" s="124">
        <v>0.02</v>
      </c>
      <c r="AK44" s="342">
        <v>15539.08</v>
      </c>
      <c r="AL44" s="325">
        <v>0.02</v>
      </c>
      <c r="AM44" s="346">
        <v>9541.2900000000009</v>
      </c>
      <c r="AN44" s="325">
        <v>0.01</v>
      </c>
    </row>
    <row r="45" spans="1:40" ht="78.75">
      <c r="A45" s="132" t="s">
        <v>72</v>
      </c>
      <c r="B45" s="123" t="s">
        <v>78</v>
      </c>
      <c r="C45" s="251">
        <v>1399.95</v>
      </c>
      <c r="D45" s="124">
        <v>0</v>
      </c>
      <c r="E45" s="251">
        <v>1399.95</v>
      </c>
      <c r="F45" s="124">
        <v>0</v>
      </c>
      <c r="G45" s="251">
        <v>1399.95</v>
      </c>
      <c r="H45" s="124">
        <v>0</v>
      </c>
      <c r="I45" s="251">
        <v>1399.95</v>
      </c>
      <c r="J45" s="124">
        <v>0</v>
      </c>
      <c r="K45" s="258">
        <v>2690.16</v>
      </c>
      <c r="L45" s="124">
        <v>0</v>
      </c>
      <c r="M45" s="274">
        <v>2690.16</v>
      </c>
      <c r="N45" s="124">
        <v>0</v>
      </c>
      <c r="O45" s="274">
        <v>2690.16</v>
      </c>
      <c r="P45" s="124">
        <v>0</v>
      </c>
      <c r="Q45" s="288">
        <v>2690.16</v>
      </c>
      <c r="R45" s="288">
        <v>0</v>
      </c>
      <c r="S45" s="274">
        <v>2690.16</v>
      </c>
      <c r="T45" s="124">
        <v>0</v>
      </c>
      <c r="U45" s="251">
        <v>2690.16</v>
      </c>
      <c r="V45" s="124">
        <v>0</v>
      </c>
      <c r="W45" s="251">
        <v>2690.16</v>
      </c>
      <c r="X45" s="124">
        <v>0</v>
      </c>
      <c r="Y45" s="251">
        <v>2690.16</v>
      </c>
      <c r="Z45" s="124">
        <v>0</v>
      </c>
      <c r="AA45" s="251">
        <v>2690.16</v>
      </c>
      <c r="AB45" s="124">
        <v>0</v>
      </c>
      <c r="AC45" s="251">
        <v>2690.16</v>
      </c>
      <c r="AD45" s="124">
        <v>0</v>
      </c>
      <c r="AE45" s="251">
        <v>2690.16</v>
      </c>
      <c r="AF45" s="124">
        <v>0</v>
      </c>
      <c r="AG45" s="251">
        <v>2690.16</v>
      </c>
      <c r="AH45" s="124">
        <v>0</v>
      </c>
      <c r="AI45" s="251">
        <v>2690.16</v>
      </c>
      <c r="AJ45" s="124">
        <v>0</v>
      </c>
      <c r="AK45" s="251">
        <v>2690.16</v>
      </c>
      <c r="AL45" s="325">
        <v>0</v>
      </c>
      <c r="AM45" s="345">
        <v>1253.25</v>
      </c>
      <c r="AN45" s="325">
        <v>0</v>
      </c>
    </row>
    <row r="46" spans="1:40" ht="31.5">
      <c r="A46" s="132" t="s">
        <v>51</v>
      </c>
      <c r="B46" s="123" t="s">
        <v>52</v>
      </c>
      <c r="C46" s="237">
        <v>6780.8</v>
      </c>
      <c r="D46" s="124">
        <v>0.01</v>
      </c>
      <c r="E46" s="237">
        <v>6780.8</v>
      </c>
      <c r="F46" s="124">
        <v>0.01</v>
      </c>
      <c r="G46" s="237">
        <v>6780.8</v>
      </c>
      <c r="H46" s="124">
        <v>0.01</v>
      </c>
      <c r="I46" s="237">
        <v>6780.8</v>
      </c>
      <c r="J46" s="124">
        <v>0.01</v>
      </c>
      <c r="K46" s="259"/>
      <c r="L46" s="127"/>
      <c r="M46" s="259"/>
      <c r="N46" s="127"/>
      <c r="O46" s="259"/>
      <c r="P46" s="127"/>
      <c r="Q46" s="292"/>
      <c r="R46" s="292"/>
      <c r="S46" s="259"/>
      <c r="T46" s="127"/>
      <c r="U46" s="259"/>
      <c r="V46" s="127"/>
      <c r="W46" s="259"/>
      <c r="X46" s="127"/>
      <c r="Y46" s="259"/>
      <c r="Z46" s="127"/>
      <c r="AA46" s="259"/>
      <c r="AB46" s="127"/>
      <c r="AC46" s="259"/>
      <c r="AD46" s="127"/>
      <c r="AE46" s="259"/>
      <c r="AF46" s="127"/>
      <c r="AG46" s="259"/>
      <c r="AH46" s="127"/>
      <c r="AI46" s="259"/>
      <c r="AJ46" s="127"/>
      <c r="AK46" s="259"/>
      <c r="AL46" s="326"/>
      <c r="AM46" s="350">
        <v>7404.37</v>
      </c>
      <c r="AN46" s="325">
        <v>0.01</v>
      </c>
    </row>
    <row r="47" spans="1:40" ht="31.5">
      <c r="A47" s="133" t="s">
        <v>73</v>
      </c>
      <c r="B47" s="134" t="s">
        <v>53</v>
      </c>
      <c r="C47" s="237">
        <v>61220.68</v>
      </c>
      <c r="D47" s="124">
        <v>0.06</v>
      </c>
      <c r="E47" s="237">
        <v>61220.68</v>
      </c>
      <c r="F47" s="124">
        <v>0.06</v>
      </c>
      <c r="G47" s="237">
        <v>61220.68</v>
      </c>
      <c r="H47" s="124">
        <v>0.06</v>
      </c>
      <c r="I47" s="237">
        <v>61220.68</v>
      </c>
      <c r="J47" s="124">
        <v>0.06</v>
      </c>
      <c r="K47" s="237">
        <v>61220.68</v>
      </c>
      <c r="L47" s="124">
        <v>0.06</v>
      </c>
      <c r="M47" s="237">
        <v>61220.68</v>
      </c>
      <c r="N47" s="124">
        <v>0.06</v>
      </c>
      <c r="O47" s="237">
        <v>61220.68</v>
      </c>
      <c r="P47" s="124">
        <v>0.06</v>
      </c>
      <c r="Q47" s="291">
        <v>61220.68</v>
      </c>
      <c r="R47" s="291">
        <v>0.06</v>
      </c>
      <c r="S47" s="237">
        <v>61220.68</v>
      </c>
      <c r="T47" s="124">
        <v>0.06</v>
      </c>
      <c r="U47" s="237">
        <v>61220.68</v>
      </c>
      <c r="V47" s="124">
        <v>0.06</v>
      </c>
      <c r="W47" s="237">
        <v>61220.68</v>
      </c>
      <c r="X47" s="124">
        <v>0.06</v>
      </c>
      <c r="Y47" s="237">
        <v>61220.68</v>
      </c>
      <c r="Z47" s="124">
        <v>0.06</v>
      </c>
      <c r="AA47" s="259"/>
      <c r="AB47" s="127"/>
      <c r="AC47" s="259"/>
      <c r="AD47" s="127"/>
      <c r="AE47" s="259"/>
      <c r="AF47" s="127"/>
      <c r="AG47" s="259"/>
      <c r="AH47" s="127"/>
      <c r="AI47" s="259"/>
      <c r="AJ47" s="127"/>
      <c r="AK47" s="259"/>
      <c r="AL47" s="326"/>
      <c r="AM47" s="350">
        <v>65017.71</v>
      </c>
      <c r="AN47" s="325">
        <v>0.06</v>
      </c>
    </row>
    <row r="48" spans="1:40" ht="31.5">
      <c r="A48" s="122" t="s">
        <v>54</v>
      </c>
      <c r="B48" s="123" t="s">
        <v>79</v>
      </c>
      <c r="C48" s="254">
        <v>2753.83</v>
      </c>
      <c r="D48" s="124"/>
      <c r="E48" s="254">
        <v>2753.83</v>
      </c>
      <c r="F48" s="124"/>
      <c r="G48" s="254">
        <v>2753.83</v>
      </c>
      <c r="H48" s="124"/>
      <c r="I48" s="254">
        <v>2753.83</v>
      </c>
      <c r="J48" s="124"/>
      <c r="K48" s="254">
        <v>2753.83</v>
      </c>
      <c r="L48" s="124"/>
      <c r="M48" s="254">
        <v>2753.83</v>
      </c>
      <c r="N48" s="124"/>
      <c r="O48" s="254">
        <v>2753.83</v>
      </c>
      <c r="P48" s="124"/>
      <c r="Q48" s="291">
        <v>2753.83</v>
      </c>
      <c r="R48" s="291"/>
      <c r="S48" s="254">
        <v>2753.83</v>
      </c>
      <c r="T48" s="124"/>
      <c r="U48" s="259"/>
      <c r="V48" s="127"/>
      <c r="W48" s="259"/>
      <c r="X48" s="127"/>
      <c r="Y48" s="259"/>
      <c r="Z48" s="127"/>
      <c r="AA48" s="259"/>
      <c r="AB48" s="127"/>
      <c r="AC48" s="259"/>
      <c r="AD48" s="127"/>
      <c r="AE48" s="259"/>
      <c r="AF48" s="127"/>
      <c r="AG48" s="259"/>
      <c r="AH48" s="127"/>
      <c r="AI48" s="259"/>
      <c r="AJ48" s="127"/>
      <c r="AK48" s="259"/>
      <c r="AL48" s="326"/>
      <c r="AM48" s="254">
        <v>3041.31</v>
      </c>
      <c r="AN48" s="325"/>
    </row>
    <row r="49" spans="1:40" ht="32.25" thickBot="1">
      <c r="A49" s="135" t="s">
        <v>55</v>
      </c>
      <c r="B49" s="223" t="s">
        <v>80</v>
      </c>
      <c r="C49" s="253">
        <v>455.5</v>
      </c>
      <c r="D49" s="124"/>
      <c r="E49" s="253">
        <v>455.5</v>
      </c>
      <c r="F49" s="124"/>
      <c r="G49" s="253">
        <v>455.5</v>
      </c>
      <c r="H49" s="124"/>
      <c r="I49" s="253">
        <v>455.5</v>
      </c>
      <c r="J49" s="124"/>
      <c r="K49" s="253">
        <v>455.5</v>
      </c>
      <c r="L49" s="124"/>
      <c r="M49" s="253">
        <v>455.5</v>
      </c>
      <c r="N49" s="124"/>
      <c r="O49" s="253">
        <v>455.5</v>
      </c>
      <c r="P49" s="124"/>
      <c r="Q49" s="291">
        <v>455.5</v>
      </c>
      <c r="R49" s="291"/>
      <c r="S49" s="253">
        <v>455.5</v>
      </c>
      <c r="T49" s="124"/>
      <c r="U49" s="259"/>
      <c r="V49" s="127"/>
      <c r="W49" s="259"/>
      <c r="X49" s="127"/>
      <c r="Y49" s="259"/>
      <c r="Z49" s="127"/>
      <c r="AA49" s="259"/>
      <c r="AB49" s="127"/>
      <c r="AC49" s="259"/>
      <c r="AD49" s="127"/>
      <c r="AE49" s="259"/>
      <c r="AF49" s="127"/>
      <c r="AG49" s="259"/>
      <c r="AH49" s="127"/>
      <c r="AI49" s="259"/>
      <c r="AJ49" s="127"/>
      <c r="AK49" s="259"/>
      <c r="AL49" s="326"/>
      <c r="AM49" s="336">
        <v>0</v>
      </c>
      <c r="AN49" s="325"/>
    </row>
    <row r="50" spans="1:40" ht="60.75" thickBot="1">
      <c r="A50" s="221" t="s">
        <v>82</v>
      </c>
      <c r="B50" s="222" t="s">
        <v>81</v>
      </c>
      <c r="C50" s="206">
        <v>17643.84</v>
      </c>
      <c r="D50" s="124">
        <v>0.02</v>
      </c>
      <c r="E50" s="206">
        <v>18410.96</v>
      </c>
      <c r="F50" s="124">
        <v>0.02</v>
      </c>
      <c r="G50" s="206">
        <v>19178.080000000002</v>
      </c>
      <c r="H50" s="124">
        <v>0.02</v>
      </c>
      <c r="I50" s="206">
        <v>21479.45</v>
      </c>
      <c r="J50" s="124">
        <v>0.02</v>
      </c>
      <c r="K50" s="206">
        <v>22246.58</v>
      </c>
      <c r="L50" s="124">
        <v>0.02</v>
      </c>
      <c r="M50" s="270">
        <v>23013.7</v>
      </c>
      <c r="N50" s="124">
        <v>0.02</v>
      </c>
      <c r="O50" s="271">
        <v>23780.82</v>
      </c>
      <c r="P50" s="124">
        <v>0.02</v>
      </c>
      <c r="Q50" s="288">
        <v>24547.95</v>
      </c>
      <c r="R50" s="288">
        <v>0.02</v>
      </c>
      <c r="S50" s="271">
        <v>26849.32</v>
      </c>
      <c r="T50" s="124">
        <v>0.03</v>
      </c>
      <c r="U50" s="206">
        <v>27616.44</v>
      </c>
      <c r="V50" s="124">
        <v>0.03</v>
      </c>
      <c r="W50" s="206">
        <v>28383.56</v>
      </c>
      <c r="X50" s="124">
        <v>0.03</v>
      </c>
      <c r="Y50" s="206">
        <v>29150.68</v>
      </c>
      <c r="Z50" s="124">
        <v>0.03</v>
      </c>
      <c r="AA50" s="206">
        <v>29917.81</v>
      </c>
      <c r="AB50" s="124">
        <v>0.03</v>
      </c>
      <c r="AC50" s="206">
        <v>32219.18</v>
      </c>
      <c r="AD50" s="124">
        <v>0.03</v>
      </c>
      <c r="AE50" s="206">
        <v>32986.300000000003</v>
      </c>
      <c r="AF50" s="124">
        <v>0.03</v>
      </c>
      <c r="AG50" s="206">
        <v>34520.550000000003</v>
      </c>
      <c r="AH50" s="124">
        <v>0.04</v>
      </c>
      <c r="AI50" s="206">
        <v>35287.67</v>
      </c>
      <c r="AJ50" s="124">
        <v>0.04</v>
      </c>
      <c r="AK50" s="339">
        <v>37589.040000000001</v>
      </c>
      <c r="AL50" s="325">
        <v>0.04</v>
      </c>
      <c r="AM50" s="348">
        <v>38356.160000000003</v>
      </c>
      <c r="AN50" s="325">
        <v>0.04</v>
      </c>
    </row>
    <row r="51" spans="1:40" ht="16.5" thickBot="1">
      <c r="A51" s="260" t="s">
        <v>83</v>
      </c>
      <c r="B51" s="220"/>
      <c r="C51" s="261"/>
      <c r="D51" s="124"/>
      <c r="E51" s="261"/>
      <c r="F51" s="124"/>
      <c r="G51" s="261"/>
      <c r="H51" s="124"/>
      <c r="I51" s="261"/>
      <c r="J51" s="124"/>
      <c r="K51" s="206">
        <v>2410.96</v>
      </c>
      <c r="L51" s="124"/>
      <c r="M51" s="271">
        <v>4821.92</v>
      </c>
      <c r="N51" s="124"/>
      <c r="O51" s="271">
        <v>7232.88</v>
      </c>
      <c r="P51" s="124">
        <v>0.01</v>
      </c>
      <c r="Q51" s="288">
        <v>9643.84</v>
      </c>
      <c r="R51" s="288">
        <v>0.01</v>
      </c>
      <c r="S51" s="271">
        <v>16876.71</v>
      </c>
      <c r="T51" s="124">
        <v>0.01</v>
      </c>
      <c r="U51" s="206">
        <v>19287.669999999998</v>
      </c>
      <c r="V51" s="124">
        <v>0.02</v>
      </c>
      <c r="W51" s="206">
        <v>21698.63</v>
      </c>
      <c r="X51" s="124">
        <v>0.02</v>
      </c>
      <c r="Y51" s="206">
        <v>24109.59</v>
      </c>
      <c r="Z51" s="124">
        <v>0.03</v>
      </c>
      <c r="AA51" s="206">
        <v>26520.55</v>
      </c>
      <c r="AB51" s="124">
        <v>0.03</v>
      </c>
      <c r="AC51" s="206">
        <v>33753.42</v>
      </c>
      <c r="AD51" s="124">
        <v>0.04</v>
      </c>
      <c r="AE51" s="206">
        <v>36164.379999999997</v>
      </c>
      <c r="AF51" s="124">
        <v>0.04</v>
      </c>
      <c r="AG51" s="206">
        <v>40986.300000000003</v>
      </c>
      <c r="AH51" s="124">
        <v>0.04</v>
      </c>
      <c r="AI51" s="206">
        <v>43397.26</v>
      </c>
      <c r="AJ51" s="124">
        <v>0.04</v>
      </c>
      <c r="AK51" s="339">
        <v>50630.14</v>
      </c>
      <c r="AL51" s="325">
        <v>0.05</v>
      </c>
      <c r="AM51" s="348">
        <v>53041.1</v>
      </c>
      <c r="AN51" s="325">
        <v>0.05</v>
      </c>
    </row>
    <row r="52" spans="1:40" ht="16.5" thickBot="1">
      <c r="A52" s="260" t="s">
        <v>94</v>
      </c>
      <c r="B52" s="295"/>
      <c r="C52" s="296"/>
      <c r="D52" s="127"/>
      <c r="E52" s="296"/>
      <c r="F52" s="127"/>
      <c r="G52" s="296"/>
      <c r="H52" s="127"/>
      <c r="I52" s="296"/>
      <c r="J52" s="127"/>
      <c r="K52" s="296"/>
      <c r="L52" s="127"/>
      <c r="M52" s="297"/>
      <c r="N52" s="127"/>
      <c r="O52" s="297"/>
      <c r="P52" s="127"/>
      <c r="Q52" s="298"/>
      <c r="R52" s="298"/>
      <c r="S52" s="297"/>
      <c r="T52" s="127"/>
      <c r="U52" s="296"/>
      <c r="V52" s="127"/>
      <c r="W52" s="296"/>
      <c r="X52" s="127"/>
      <c r="Y52" s="261">
        <v>34000</v>
      </c>
      <c r="Z52" s="124">
        <v>0.03</v>
      </c>
      <c r="AA52" s="261">
        <v>34000</v>
      </c>
      <c r="AB52" s="124">
        <v>0.03</v>
      </c>
      <c r="AC52" s="261">
        <v>34000</v>
      </c>
      <c r="AD52" s="124">
        <v>0.03</v>
      </c>
      <c r="AE52" s="261">
        <v>34000</v>
      </c>
      <c r="AF52" s="124">
        <v>0.03</v>
      </c>
      <c r="AG52" s="206">
        <v>34000</v>
      </c>
      <c r="AH52" s="124">
        <v>0.03</v>
      </c>
      <c r="AI52" s="206">
        <v>34000</v>
      </c>
      <c r="AJ52" s="124">
        <v>0.03</v>
      </c>
      <c r="AK52" s="340">
        <v>34000</v>
      </c>
      <c r="AL52" s="325">
        <v>0.03</v>
      </c>
      <c r="AM52" s="348">
        <v>34000</v>
      </c>
      <c r="AN52" s="325">
        <v>0.03</v>
      </c>
    </row>
    <row r="53" spans="1:40" s="137" customFormat="1">
      <c r="A53" s="1032" t="s">
        <v>95</v>
      </c>
      <c r="B53" s="1033"/>
      <c r="C53" s="136"/>
      <c r="D53" s="127"/>
      <c r="E53" s="136"/>
      <c r="F53" s="127"/>
      <c r="G53" s="136"/>
      <c r="H53" s="127"/>
      <c r="I53" s="136"/>
      <c r="J53" s="127"/>
      <c r="K53" s="136"/>
      <c r="L53" s="127"/>
      <c r="M53" s="136"/>
      <c r="N53" s="127"/>
      <c r="O53" s="136"/>
      <c r="P53" s="127"/>
      <c r="Q53" s="289"/>
      <c r="R53" s="289"/>
      <c r="S53" s="136"/>
      <c r="T53" s="127"/>
      <c r="U53" s="136"/>
      <c r="V53" s="127"/>
      <c r="W53" s="136"/>
      <c r="X53" s="127"/>
      <c r="Y53" s="136"/>
      <c r="Z53" s="127"/>
      <c r="AA53" s="136"/>
      <c r="AB53" s="127"/>
      <c r="AC53" s="136"/>
      <c r="AD53" s="127"/>
      <c r="AE53" s="136"/>
      <c r="AF53" s="127"/>
      <c r="AG53" s="206">
        <v>3698.63</v>
      </c>
      <c r="AH53" s="127"/>
      <c r="AI53" s="206">
        <v>5547.95</v>
      </c>
      <c r="AJ53" s="127">
        <v>0.01</v>
      </c>
      <c r="AK53" s="339">
        <v>11095.89</v>
      </c>
      <c r="AL53" s="325">
        <v>0.01</v>
      </c>
      <c r="AM53" s="348">
        <v>12945.21</v>
      </c>
      <c r="AN53" s="325">
        <v>0.01</v>
      </c>
    </row>
    <row r="54" spans="1:40" ht="16.5" thickBot="1">
      <c r="A54" s="1018"/>
      <c r="B54" s="1019"/>
      <c r="C54" s="140">
        <f t="shared" ref="C54:H54" si="17">SUM(C34:C53)</f>
        <v>3761833.32</v>
      </c>
      <c r="D54" s="140">
        <f t="shared" si="17"/>
        <v>3.6899999999999991</v>
      </c>
      <c r="E54" s="140">
        <f t="shared" si="17"/>
        <v>3763703.58</v>
      </c>
      <c r="F54" s="140">
        <f t="shared" si="17"/>
        <v>3.6899999999999991</v>
      </c>
      <c r="G54" s="140">
        <f t="shared" si="17"/>
        <v>3765223.83</v>
      </c>
      <c r="H54" s="140">
        <f t="shared" si="17"/>
        <v>3.6899999999999991</v>
      </c>
      <c r="I54" s="140">
        <f t="shared" ref="I54:N54" si="18">SUM(I34:I53)</f>
        <v>3769784.6</v>
      </c>
      <c r="J54" s="140">
        <f t="shared" si="18"/>
        <v>3.6899999999999991</v>
      </c>
      <c r="K54" s="140">
        <f t="shared" si="18"/>
        <v>3768440.2700000005</v>
      </c>
      <c r="L54" s="140">
        <f t="shared" si="18"/>
        <v>3.6999999999999993</v>
      </c>
      <c r="M54" s="140">
        <f t="shared" si="18"/>
        <v>3772371.4800000004</v>
      </c>
      <c r="N54" s="140">
        <f t="shared" si="18"/>
        <v>3.6999999999999993</v>
      </c>
      <c r="O54" s="140">
        <f t="shared" ref="O54:T54" si="19">SUM(O34:O53)</f>
        <v>3776297.9</v>
      </c>
      <c r="P54" s="140">
        <f t="shared" si="19"/>
        <v>3.7099999999999991</v>
      </c>
      <c r="Q54" s="140">
        <f t="shared" si="19"/>
        <v>3780229.1300000004</v>
      </c>
      <c r="R54" s="140">
        <f t="shared" si="19"/>
        <v>3.6999999999999993</v>
      </c>
      <c r="S54" s="140">
        <f t="shared" si="19"/>
        <v>3792022.77</v>
      </c>
      <c r="T54" s="140">
        <f t="shared" si="19"/>
        <v>3.7199999999999989</v>
      </c>
      <c r="U54" s="140">
        <f t="shared" ref="U54:AB54" si="20">SUM(U34:U53)</f>
        <v>3799106.2300000004</v>
      </c>
      <c r="V54" s="140">
        <f t="shared" si="20"/>
        <v>3.7199999999999998</v>
      </c>
      <c r="W54" s="140">
        <f t="shared" si="20"/>
        <v>3803037.4400000004</v>
      </c>
      <c r="X54" s="140">
        <f t="shared" si="20"/>
        <v>3.7199999999999998</v>
      </c>
      <c r="Y54" s="140">
        <f t="shared" si="20"/>
        <v>3840968.6500000004</v>
      </c>
      <c r="Z54" s="140">
        <f t="shared" si="20"/>
        <v>3.7599999999999993</v>
      </c>
      <c r="AA54" s="140">
        <f t="shared" si="20"/>
        <v>3783679.2</v>
      </c>
      <c r="AB54" s="140">
        <f t="shared" si="20"/>
        <v>3.6999999999999993</v>
      </c>
      <c r="AC54" s="140">
        <f t="shared" ref="AC54:AJ54" si="21">SUM(AC34:AC53)</f>
        <v>3795472.8300000005</v>
      </c>
      <c r="AD54" s="140">
        <f t="shared" si="21"/>
        <v>3.7199999999999993</v>
      </c>
      <c r="AE54" s="140">
        <f t="shared" si="21"/>
        <v>3799404.0500000003</v>
      </c>
      <c r="AF54" s="140">
        <f t="shared" si="21"/>
        <v>3.7199999999999993</v>
      </c>
      <c r="AG54" s="140">
        <f t="shared" si="21"/>
        <v>3810965.11</v>
      </c>
      <c r="AH54" s="140">
        <f t="shared" si="21"/>
        <v>3.7299999999999995</v>
      </c>
      <c r="AI54" s="140">
        <f t="shared" si="21"/>
        <v>3902852.6100000003</v>
      </c>
      <c r="AJ54" s="140">
        <f t="shared" si="21"/>
        <v>3.8099999999999996</v>
      </c>
      <c r="AK54" s="140">
        <f>SUM(AK34:AK53)</f>
        <v>3925694.1900000009</v>
      </c>
      <c r="AL54" s="327">
        <f>SUM(AL34:AL53)</f>
        <v>3.8299999999999996</v>
      </c>
      <c r="AM54" s="140">
        <f>SUM(AM34:AM53)</f>
        <v>3992040.3000000003</v>
      </c>
      <c r="AN54" s="140">
        <f>SUM(AN34:AN53)</f>
        <v>3.899999999999999</v>
      </c>
    </row>
    <row r="55" spans="1:40">
      <c r="B55" s="142" t="s">
        <v>59</v>
      </c>
      <c r="C55" s="143">
        <f t="shared" ref="C55:H55" si="22">C9+C17</f>
        <v>73933659.079999998</v>
      </c>
      <c r="D55" s="144">
        <f t="shared" si="22"/>
        <v>72.53</v>
      </c>
      <c r="E55" s="143">
        <f t="shared" si="22"/>
        <v>74176082.849999994</v>
      </c>
      <c r="F55" s="144">
        <f t="shared" si="22"/>
        <v>72.789999999999992</v>
      </c>
      <c r="G55" s="143">
        <f t="shared" si="22"/>
        <v>74116017.909999996</v>
      </c>
      <c r="H55" s="144">
        <f t="shared" si="22"/>
        <v>72.77000000000001</v>
      </c>
      <c r="I55" s="143">
        <f t="shared" ref="I55:N55" si="23">I9+I17</f>
        <v>74313970.310000002</v>
      </c>
      <c r="J55" s="144">
        <f t="shared" si="23"/>
        <v>72.820000000000007</v>
      </c>
      <c r="K55" s="143">
        <f t="shared" si="23"/>
        <v>74411613.989999995</v>
      </c>
      <c r="L55" s="144">
        <f t="shared" si="23"/>
        <v>73</v>
      </c>
      <c r="M55" s="143">
        <f t="shared" si="23"/>
        <v>74445695.879999995</v>
      </c>
      <c r="N55" s="144">
        <f t="shared" si="23"/>
        <v>73.05</v>
      </c>
      <c r="O55" s="143">
        <f t="shared" ref="O55:T55" si="24">O9+O17</f>
        <v>74279377.620000005</v>
      </c>
      <c r="P55" s="144">
        <f t="shared" si="24"/>
        <v>73</v>
      </c>
      <c r="Q55" s="144">
        <f t="shared" si="24"/>
        <v>74513752.650000006</v>
      </c>
      <c r="R55" s="144">
        <f t="shared" si="24"/>
        <v>73.06</v>
      </c>
      <c r="S55" s="143">
        <f t="shared" si="24"/>
        <v>74414705.229999989</v>
      </c>
      <c r="T55" s="144">
        <f t="shared" si="24"/>
        <v>73.02000000000001</v>
      </c>
      <c r="U55" s="143">
        <f t="shared" ref="U55:AB55" si="25">U9+U17</f>
        <v>74661748.080000013</v>
      </c>
      <c r="V55" s="144">
        <f t="shared" si="25"/>
        <v>73.08</v>
      </c>
      <c r="W55" s="143">
        <f t="shared" si="25"/>
        <v>74695803.959999993</v>
      </c>
      <c r="X55" s="144">
        <f t="shared" si="25"/>
        <v>73.16</v>
      </c>
      <c r="Y55" s="143">
        <f t="shared" si="25"/>
        <v>74729709.850000009</v>
      </c>
      <c r="Z55" s="144">
        <f t="shared" si="25"/>
        <v>73.16</v>
      </c>
      <c r="AA55" s="143">
        <f t="shared" si="25"/>
        <v>74763487.450000003</v>
      </c>
      <c r="AB55" s="144">
        <f t="shared" si="25"/>
        <v>73.17</v>
      </c>
      <c r="AC55" s="143">
        <f t="shared" ref="AC55:AJ55" si="26">AC9+AC17</f>
        <v>70473845.719999999</v>
      </c>
      <c r="AD55" s="144">
        <f t="shared" si="26"/>
        <v>69.039999999999992</v>
      </c>
      <c r="AE55" s="143">
        <f t="shared" si="26"/>
        <v>70665885.019999996</v>
      </c>
      <c r="AF55" s="144">
        <f t="shared" si="26"/>
        <v>69.09</v>
      </c>
      <c r="AG55" s="143">
        <f t="shared" si="26"/>
        <v>70377108.960000008</v>
      </c>
      <c r="AH55" s="144">
        <f t="shared" si="26"/>
        <v>68.88</v>
      </c>
      <c r="AI55" s="143">
        <f t="shared" si="26"/>
        <v>70515473.060000002</v>
      </c>
      <c r="AJ55" s="144">
        <f t="shared" si="26"/>
        <v>68.86</v>
      </c>
      <c r="AK55" s="143">
        <f>AK9+AK17</f>
        <v>70611641.379999995</v>
      </c>
      <c r="AL55" s="328">
        <f>AL9+AL17</f>
        <v>68.97</v>
      </c>
      <c r="AM55" s="143">
        <f>AM9+AM17</f>
        <v>70583802.870000005</v>
      </c>
      <c r="AN55" s="328">
        <f>AN9+AN17</f>
        <v>68.92</v>
      </c>
    </row>
    <row r="56" spans="1:40">
      <c r="A56" s="145" t="s">
        <v>60</v>
      </c>
      <c r="B56" s="145" t="s">
        <v>60</v>
      </c>
      <c r="C56" s="146">
        <f t="shared" ref="C56:H56" si="27">C31</f>
        <v>17237599.030000001</v>
      </c>
      <c r="D56" s="147">
        <f t="shared" si="27"/>
        <v>16.91</v>
      </c>
      <c r="E56" s="146">
        <f t="shared" si="27"/>
        <v>16965676.280000001</v>
      </c>
      <c r="F56" s="147">
        <f t="shared" si="27"/>
        <v>16.649999999999999</v>
      </c>
      <c r="G56" s="146">
        <f t="shared" si="27"/>
        <v>16965676.280000001</v>
      </c>
      <c r="H56" s="147">
        <f t="shared" si="27"/>
        <v>16.66</v>
      </c>
      <c r="I56" s="146">
        <f t="shared" ref="I56:N56" si="28">I31</f>
        <v>16965776.280000001</v>
      </c>
      <c r="J56" s="147">
        <f t="shared" si="28"/>
        <v>16.63</v>
      </c>
      <c r="K56" s="146">
        <f t="shared" si="28"/>
        <v>16741899.83</v>
      </c>
      <c r="L56" s="147">
        <f t="shared" si="28"/>
        <v>16.43</v>
      </c>
      <c r="M56" s="146">
        <f t="shared" si="28"/>
        <v>16692941.35</v>
      </c>
      <c r="N56" s="147">
        <f t="shared" si="28"/>
        <v>16.38</v>
      </c>
      <c r="O56" s="146">
        <f t="shared" ref="O56:T56" si="29">O31</f>
        <v>16692970.07</v>
      </c>
      <c r="P56" s="147">
        <f t="shared" si="29"/>
        <v>16.400000000000002</v>
      </c>
      <c r="Q56" s="147">
        <f t="shared" si="29"/>
        <v>16698500.07</v>
      </c>
      <c r="R56" s="147">
        <f t="shared" si="29"/>
        <v>16.37</v>
      </c>
      <c r="S56" s="146">
        <f t="shared" si="29"/>
        <v>16698500.07</v>
      </c>
      <c r="T56" s="147">
        <f t="shared" si="29"/>
        <v>16.38</v>
      </c>
      <c r="U56" s="146">
        <f t="shared" ref="U56:AB56" si="30">U31</f>
        <v>16702743.620000001</v>
      </c>
      <c r="V56" s="147">
        <f t="shared" si="30"/>
        <v>16.350000000000001</v>
      </c>
      <c r="W56" s="146">
        <f t="shared" si="30"/>
        <v>16597460.57</v>
      </c>
      <c r="X56" s="147">
        <f t="shared" si="30"/>
        <v>16.259999999999998</v>
      </c>
      <c r="Y56" s="146">
        <f t="shared" si="30"/>
        <v>16571452.57</v>
      </c>
      <c r="Z56" s="147">
        <f t="shared" si="30"/>
        <v>16.22</v>
      </c>
      <c r="AA56" s="146">
        <f t="shared" si="30"/>
        <v>16632673.25</v>
      </c>
      <c r="AB56" s="147">
        <f t="shared" si="30"/>
        <v>16.28</v>
      </c>
      <c r="AC56" s="146">
        <f t="shared" ref="AC56:AJ56" si="31">AC31</f>
        <v>20802523.25</v>
      </c>
      <c r="AD56" s="147">
        <f t="shared" si="31"/>
        <v>20.38</v>
      </c>
      <c r="AE56" s="146">
        <f t="shared" si="31"/>
        <v>20803798.25</v>
      </c>
      <c r="AF56" s="147">
        <f t="shared" si="31"/>
        <v>20.340000000000003</v>
      </c>
      <c r="AG56" s="146">
        <f t="shared" si="31"/>
        <v>20983798.25</v>
      </c>
      <c r="AH56" s="147">
        <f t="shared" si="31"/>
        <v>20.529999999999998</v>
      </c>
      <c r="AI56" s="146">
        <f t="shared" si="31"/>
        <v>20983798.25</v>
      </c>
      <c r="AJ56" s="147">
        <f t="shared" si="31"/>
        <v>20.49</v>
      </c>
      <c r="AK56" s="146">
        <f>AK31</f>
        <v>20830713.16</v>
      </c>
      <c r="AL56" s="329">
        <f>AL31</f>
        <v>20.349999999999998</v>
      </c>
      <c r="AM56" s="146">
        <f>AM31</f>
        <v>20830717.530000001</v>
      </c>
      <c r="AN56" s="329">
        <f>AN31</f>
        <v>20.34</v>
      </c>
    </row>
    <row r="57" spans="1:40">
      <c r="B57" s="145" t="s">
        <v>61</v>
      </c>
      <c r="C57" s="146">
        <f t="shared" ref="C57:H57" si="32">C23</f>
        <v>7005983.7000000002</v>
      </c>
      <c r="D57" s="147">
        <f t="shared" si="32"/>
        <v>6.87</v>
      </c>
      <c r="E57" s="146">
        <f t="shared" si="32"/>
        <v>7005983.7000000002</v>
      </c>
      <c r="F57" s="147">
        <f t="shared" si="32"/>
        <v>6.87</v>
      </c>
      <c r="G57" s="146">
        <f t="shared" si="32"/>
        <v>7005983.7000000002</v>
      </c>
      <c r="H57" s="147">
        <f t="shared" si="32"/>
        <v>6.88</v>
      </c>
      <c r="I57" s="146">
        <f t="shared" ref="I57:N57" si="33">I23</f>
        <v>7005983.7000000002</v>
      </c>
      <c r="J57" s="147">
        <f t="shared" si="33"/>
        <v>6.86</v>
      </c>
      <c r="K57" s="146">
        <f t="shared" si="33"/>
        <v>7005983.7000000002</v>
      </c>
      <c r="L57" s="147">
        <f t="shared" si="33"/>
        <v>6.87</v>
      </c>
      <c r="M57" s="146">
        <f t="shared" si="33"/>
        <v>7005983.7000000002</v>
      </c>
      <c r="N57" s="147">
        <f t="shared" si="33"/>
        <v>6.87</v>
      </c>
      <c r="O57" s="146">
        <f t="shared" ref="O57:T57" si="34">O23</f>
        <v>7005983.7000000002</v>
      </c>
      <c r="P57" s="147">
        <f t="shared" si="34"/>
        <v>6.89</v>
      </c>
      <c r="Q57" s="147">
        <f t="shared" si="34"/>
        <v>7005983.7000000002</v>
      </c>
      <c r="R57" s="147">
        <f t="shared" si="34"/>
        <v>6.87</v>
      </c>
      <c r="S57" s="146">
        <f t="shared" si="34"/>
        <v>7005983.7000000002</v>
      </c>
      <c r="T57" s="147">
        <f t="shared" si="34"/>
        <v>6.88</v>
      </c>
      <c r="U57" s="146">
        <f t="shared" ref="U57:AB57" si="35">U23</f>
        <v>7005983.7000000002</v>
      </c>
      <c r="V57" s="147">
        <f t="shared" si="35"/>
        <v>6.8500000000000005</v>
      </c>
      <c r="W57" s="146">
        <f t="shared" si="35"/>
        <v>7005983.7000000002</v>
      </c>
      <c r="X57" s="147">
        <f t="shared" si="35"/>
        <v>6.86</v>
      </c>
      <c r="Y57" s="146">
        <f t="shared" si="35"/>
        <v>7005983.7000000002</v>
      </c>
      <c r="Z57" s="147">
        <f t="shared" si="35"/>
        <v>6.86</v>
      </c>
      <c r="AA57" s="146">
        <f t="shared" si="35"/>
        <v>7005983.7000000002</v>
      </c>
      <c r="AB57" s="147">
        <f t="shared" si="35"/>
        <v>6.8500000000000005</v>
      </c>
      <c r="AC57" s="146">
        <f t="shared" ref="AC57:AJ57" si="36">AC23</f>
        <v>7005983.7000000002</v>
      </c>
      <c r="AD57" s="147">
        <f t="shared" si="36"/>
        <v>6.86</v>
      </c>
      <c r="AE57" s="146">
        <f t="shared" si="36"/>
        <v>7005983.7000000002</v>
      </c>
      <c r="AF57" s="147">
        <f t="shared" si="36"/>
        <v>6.8500000000000005</v>
      </c>
      <c r="AG57" s="146">
        <f t="shared" si="36"/>
        <v>7005983.7000000002</v>
      </c>
      <c r="AH57" s="147">
        <f t="shared" si="36"/>
        <v>6.86</v>
      </c>
      <c r="AI57" s="146">
        <f t="shared" si="36"/>
        <v>7005983.7000000002</v>
      </c>
      <c r="AJ57" s="147">
        <f t="shared" si="36"/>
        <v>6.84</v>
      </c>
      <c r="AK57" s="146">
        <f>AK23</f>
        <v>7005983.7000000002</v>
      </c>
      <c r="AL57" s="329">
        <f>AL23</f>
        <v>6.8500000000000005</v>
      </c>
      <c r="AM57" s="146">
        <f>AM23</f>
        <v>7005983.7000000002</v>
      </c>
      <c r="AN57" s="329">
        <f>AN23</f>
        <v>6.84</v>
      </c>
    </row>
    <row r="58" spans="1:40">
      <c r="B58" s="145" t="s">
        <v>62</v>
      </c>
      <c r="C58" s="146"/>
      <c r="D58" s="147"/>
      <c r="E58" s="146"/>
      <c r="F58" s="147"/>
      <c r="G58" s="146"/>
      <c r="H58" s="147"/>
      <c r="I58" s="146"/>
      <c r="J58" s="147"/>
      <c r="K58" s="146"/>
      <c r="L58" s="147"/>
      <c r="M58" s="146"/>
      <c r="N58" s="147"/>
      <c r="O58" s="146"/>
      <c r="P58" s="147"/>
      <c r="Q58" s="293"/>
      <c r="R58" s="293"/>
      <c r="S58" s="146"/>
      <c r="T58" s="147"/>
      <c r="U58" s="146"/>
      <c r="V58" s="147"/>
      <c r="W58" s="146"/>
      <c r="X58" s="147"/>
      <c r="Y58" s="146"/>
      <c r="Z58" s="147"/>
      <c r="AA58" s="146"/>
      <c r="AB58" s="147"/>
      <c r="AC58" s="146"/>
      <c r="AD58" s="147"/>
      <c r="AE58" s="146"/>
      <c r="AF58" s="147"/>
      <c r="AG58" s="146"/>
      <c r="AH58" s="147"/>
      <c r="AI58" s="146"/>
      <c r="AJ58" s="147"/>
      <c r="AK58" s="146"/>
      <c r="AL58" s="329"/>
      <c r="AM58" s="146"/>
      <c r="AN58" s="329"/>
    </row>
    <row r="59" spans="1:40" ht="16.5" thickBot="1">
      <c r="A59" s="148" t="e">
        <v>#REF!</v>
      </c>
      <c r="B59" s="145" t="s">
        <v>63</v>
      </c>
      <c r="C59" s="149">
        <f t="shared" ref="C59:H59" si="37">C54</f>
        <v>3761833.32</v>
      </c>
      <c r="D59" s="150">
        <f t="shared" si="37"/>
        <v>3.6899999999999991</v>
      </c>
      <c r="E59" s="149">
        <f t="shared" si="37"/>
        <v>3763703.58</v>
      </c>
      <c r="F59" s="150">
        <f t="shared" si="37"/>
        <v>3.6899999999999991</v>
      </c>
      <c r="G59" s="149">
        <f t="shared" si="37"/>
        <v>3765223.83</v>
      </c>
      <c r="H59" s="150">
        <f t="shared" si="37"/>
        <v>3.6899999999999991</v>
      </c>
      <c r="I59" s="149">
        <f t="shared" ref="I59:N59" si="38">I54</f>
        <v>3769784.6</v>
      </c>
      <c r="J59" s="150">
        <f t="shared" si="38"/>
        <v>3.6899999999999991</v>
      </c>
      <c r="K59" s="149">
        <f t="shared" si="38"/>
        <v>3768440.2700000005</v>
      </c>
      <c r="L59" s="150">
        <f t="shared" si="38"/>
        <v>3.6999999999999993</v>
      </c>
      <c r="M59" s="149">
        <f t="shared" si="38"/>
        <v>3772371.4800000004</v>
      </c>
      <c r="N59" s="150">
        <f t="shared" si="38"/>
        <v>3.6999999999999993</v>
      </c>
      <c r="O59" s="149">
        <f t="shared" ref="O59:T59" si="39">O54</f>
        <v>3776297.9</v>
      </c>
      <c r="P59" s="150">
        <f t="shared" si="39"/>
        <v>3.7099999999999991</v>
      </c>
      <c r="Q59" s="150">
        <f t="shared" si="39"/>
        <v>3780229.1300000004</v>
      </c>
      <c r="R59" s="150">
        <f t="shared" si="39"/>
        <v>3.6999999999999993</v>
      </c>
      <c r="S59" s="149">
        <f t="shared" si="39"/>
        <v>3792022.77</v>
      </c>
      <c r="T59" s="150">
        <f t="shared" si="39"/>
        <v>3.7199999999999989</v>
      </c>
      <c r="U59" s="149">
        <f t="shared" ref="U59:AB59" si="40">U54</f>
        <v>3799106.2300000004</v>
      </c>
      <c r="V59" s="150">
        <f t="shared" si="40"/>
        <v>3.7199999999999998</v>
      </c>
      <c r="W59" s="149">
        <f t="shared" si="40"/>
        <v>3803037.4400000004</v>
      </c>
      <c r="X59" s="150">
        <f t="shared" si="40"/>
        <v>3.7199999999999998</v>
      </c>
      <c r="Y59" s="149">
        <f t="shared" si="40"/>
        <v>3840968.6500000004</v>
      </c>
      <c r="Z59" s="150">
        <f t="shared" si="40"/>
        <v>3.7599999999999993</v>
      </c>
      <c r="AA59" s="149">
        <f t="shared" si="40"/>
        <v>3783679.2</v>
      </c>
      <c r="AB59" s="150">
        <f t="shared" si="40"/>
        <v>3.6999999999999993</v>
      </c>
      <c r="AC59" s="149">
        <f t="shared" ref="AC59:AJ59" si="41">AC54</f>
        <v>3795472.8300000005</v>
      </c>
      <c r="AD59" s="150">
        <f t="shared" si="41"/>
        <v>3.7199999999999993</v>
      </c>
      <c r="AE59" s="149">
        <f t="shared" si="41"/>
        <v>3799404.0500000003</v>
      </c>
      <c r="AF59" s="150">
        <f t="shared" si="41"/>
        <v>3.7199999999999993</v>
      </c>
      <c r="AG59" s="149">
        <f t="shared" si="41"/>
        <v>3810965.11</v>
      </c>
      <c r="AH59" s="150">
        <f t="shared" si="41"/>
        <v>3.7299999999999995</v>
      </c>
      <c r="AI59" s="149">
        <f t="shared" si="41"/>
        <v>3902852.6100000003</v>
      </c>
      <c r="AJ59" s="150">
        <f t="shared" si="41"/>
        <v>3.8099999999999996</v>
      </c>
      <c r="AK59" s="149">
        <f>AK54</f>
        <v>3925694.1900000009</v>
      </c>
      <c r="AL59" s="330">
        <f>AL54</f>
        <v>3.8299999999999996</v>
      </c>
      <c r="AM59" s="149">
        <f>AM54</f>
        <v>3992040.3000000003</v>
      </c>
      <c r="AN59" s="330">
        <f>AN54</f>
        <v>3.899999999999999</v>
      </c>
    </row>
    <row r="60" spans="1:40" ht="16.5" thickBot="1">
      <c r="A60" s="151"/>
      <c r="B60" s="152" t="s">
        <v>64</v>
      </c>
      <c r="C60" s="153">
        <f t="shared" ref="C60:H60" si="42">SUM(C55:C59)</f>
        <v>101939075.13</v>
      </c>
      <c r="D60" s="153">
        <f t="shared" si="42"/>
        <v>100</v>
      </c>
      <c r="E60" s="153">
        <f t="shared" si="42"/>
        <v>101911446.41</v>
      </c>
      <c r="F60" s="153">
        <f t="shared" si="42"/>
        <v>100</v>
      </c>
      <c r="G60" s="153">
        <f t="shared" si="42"/>
        <v>101852901.72</v>
      </c>
      <c r="H60" s="153">
        <f t="shared" si="42"/>
        <v>100</v>
      </c>
      <c r="I60" s="153">
        <f t="shared" ref="I60:N60" si="43">SUM(I55:I59)</f>
        <v>102055514.89</v>
      </c>
      <c r="J60" s="153">
        <f t="shared" si="43"/>
        <v>100</v>
      </c>
      <c r="K60" s="153">
        <f t="shared" si="43"/>
        <v>101927937.78999999</v>
      </c>
      <c r="L60" s="153">
        <f t="shared" si="43"/>
        <v>100.00000000000001</v>
      </c>
      <c r="M60" s="153">
        <f t="shared" si="43"/>
        <v>101916992.41</v>
      </c>
      <c r="N60" s="153">
        <f t="shared" si="43"/>
        <v>100</v>
      </c>
      <c r="O60" s="153">
        <f t="shared" ref="O60:T60" si="44">SUM(O55:O59)</f>
        <v>101754629.29000001</v>
      </c>
      <c r="P60" s="153">
        <f t="shared" si="44"/>
        <v>100</v>
      </c>
      <c r="Q60" s="153">
        <f t="shared" si="44"/>
        <v>101998465.55</v>
      </c>
      <c r="R60" s="153">
        <f t="shared" si="44"/>
        <v>100.00000000000001</v>
      </c>
      <c r="S60" s="153">
        <f t="shared" si="44"/>
        <v>101911211.76999998</v>
      </c>
      <c r="T60" s="153">
        <f t="shared" si="44"/>
        <v>100</v>
      </c>
      <c r="U60" s="153">
        <f t="shared" ref="U60:AB60" si="45">SUM(U55:U59)</f>
        <v>102169581.63000003</v>
      </c>
      <c r="V60" s="153">
        <f t="shared" si="45"/>
        <v>100</v>
      </c>
      <c r="W60" s="153">
        <f t="shared" si="45"/>
        <v>102102285.67</v>
      </c>
      <c r="X60" s="153">
        <f t="shared" si="45"/>
        <v>99.999999999999986</v>
      </c>
      <c r="Y60" s="153">
        <f t="shared" si="45"/>
        <v>102148114.77000003</v>
      </c>
      <c r="Z60" s="153">
        <f t="shared" si="45"/>
        <v>100</v>
      </c>
      <c r="AA60" s="153">
        <f t="shared" si="45"/>
        <v>102185823.60000001</v>
      </c>
      <c r="AB60" s="153">
        <f t="shared" si="45"/>
        <v>100</v>
      </c>
      <c r="AC60" s="153">
        <f t="shared" ref="AC60:AJ60" si="46">SUM(AC55:AC59)</f>
        <v>102077825.5</v>
      </c>
      <c r="AD60" s="153">
        <f t="shared" si="46"/>
        <v>99.999999999999986</v>
      </c>
      <c r="AE60" s="153">
        <f t="shared" si="46"/>
        <v>102275071.02</v>
      </c>
      <c r="AF60" s="153">
        <f t="shared" si="46"/>
        <v>100</v>
      </c>
      <c r="AG60" s="153">
        <f t="shared" si="46"/>
        <v>102177856.02000001</v>
      </c>
      <c r="AH60" s="153">
        <f t="shared" si="46"/>
        <v>100</v>
      </c>
      <c r="AI60" s="153">
        <f t="shared" si="46"/>
        <v>102408107.62</v>
      </c>
      <c r="AJ60" s="153">
        <f t="shared" si="46"/>
        <v>100</v>
      </c>
      <c r="AK60" s="153">
        <f>SUM(AK55:AK59)</f>
        <v>102374032.42999999</v>
      </c>
      <c r="AL60" s="331">
        <f>SUM(AL55:AL59)</f>
        <v>99.999999999999986</v>
      </c>
      <c r="AM60" s="153">
        <f>SUM(AM55:AM59)</f>
        <v>102412544.40000001</v>
      </c>
      <c r="AN60" s="331">
        <f>SUM(AN55:AN59)</f>
        <v>100.00000000000001</v>
      </c>
    </row>
    <row r="61" spans="1:40">
      <c r="C61" s="154">
        <f>C60-[22]REP_Zagolovok!$D$86</f>
        <v>-2.5000125169754028E-3</v>
      </c>
      <c r="E61" s="154">
        <f>E60-[23]REP_Zagolovok!$D$86</f>
        <v>9.9998712539672852E-4</v>
      </c>
      <c r="G61" s="154">
        <f>G60-[24]REP_Zagolovok!$D$87</f>
        <v>4.5000016689300537E-3</v>
      </c>
      <c r="I61" s="154">
        <f>I60-[25]REP_Zagolovok!$D$87</f>
        <v>4.999995231628418E-3</v>
      </c>
      <c r="K61" s="154">
        <f>K60-[26]REP_Zagolovok!$D$87</f>
        <v>-1.4999955892562866E-3</v>
      </c>
      <c r="M61" s="154"/>
      <c r="O61" s="154"/>
      <c r="S61" s="154"/>
      <c r="U61" s="154"/>
      <c r="W61" s="154"/>
      <c r="Y61" s="154"/>
      <c r="AA61" s="154"/>
      <c r="AC61" s="154"/>
      <c r="AE61" s="154"/>
      <c r="AG61" s="154"/>
      <c r="AI61" s="154"/>
      <c r="AK61" s="154"/>
      <c r="AM61" s="154">
        <f>AM60-[27]REP_Zagolovok!$D$88</f>
        <v>2.0000040531158447E-3</v>
      </c>
    </row>
    <row r="62" spans="1:40" ht="16.5" thickBot="1">
      <c r="B62" s="56" t="s">
        <v>82</v>
      </c>
      <c r="U62" s="294">
        <f>U60-[28]REP_Zagolovok!$D$87</f>
        <v>3.0000060796737671E-3</v>
      </c>
      <c r="W62" s="294">
        <f>W60-[29]REP_Zagolovok!$D$87</f>
        <v>-3.4999996423721313E-3</v>
      </c>
      <c r="Y62" s="294">
        <f>Y60-[30]REP_Zagolovok!$D$87</f>
        <v>0</v>
      </c>
      <c r="AA62" s="294">
        <f>AA60-[31]REP_Zagolovok!$D$87</f>
        <v>3.4999996423721313E-3</v>
      </c>
      <c r="AC62" s="294">
        <f>AC60-[32]REP_Zagolovok!$D$86</f>
        <v>4.0000081062316895E-3</v>
      </c>
      <c r="AE62" s="294">
        <f>AE60-[33]REP_Zagolovok!$D$86</f>
        <v>98475666.969999999</v>
      </c>
      <c r="AG62" s="294">
        <f>AG60-[34]REP_Zagolovok!$D$88</f>
        <v>4.5000016689300537E-3</v>
      </c>
      <c r="AI62" s="294">
        <f>AI60-[35]REP_Zagolovok!$D$88</f>
        <v>-2.0000040531158447E-3</v>
      </c>
      <c r="AK62" s="334">
        <v>102374032.4315</v>
      </c>
      <c r="AM62" s="334">
        <v>102374032.4315</v>
      </c>
    </row>
    <row r="63" spans="1:40">
      <c r="C63" s="148">
        <f>C60-[4]REP_Zagolovok!$D$91</f>
        <v>550798.87649999559</v>
      </c>
      <c r="E63" s="148">
        <f>E60-[4]REP_Zagolovok!$D$91</f>
        <v>523170.15649999678</v>
      </c>
      <c r="G63" s="148">
        <f>G60-[4]REP_Zagolovok!$D$91</f>
        <v>464625.46649999917</v>
      </c>
      <c r="I63" s="148">
        <f>I60-[4]REP_Zagolovok!$D$91</f>
        <v>667238.63650000095</v>
      </c>
      <c r="K63" s="148">
        <f>K60-[4]REP_Zagolovok!$D$91</f>
        <v>539661.53649999201</v>
      </c>
      <c r="M63" s="148">
        <f>M60-[4]REP_Zagolovok!$D$91</f>
        <v>528716.15649999678</v>
      </c>
      <c r="O63" s="148">
        <f>O60-[36]REP_Zagolovok!$D$87</f>
        <v>-4.5000165700912476E-3</v>
      </c>
      <c r="Q63" s="56">
        <v>-4.5000165700912476E-3</v>
      </c>
      <c r="S63" s="148">
        <f>S60-[37]REP_Zagolovok!$D$87</f>
        <v>-5.0000846385955811E-4</v>
      </c>
      <c r="U63" s="148">
        <f>U60-[37]REP_Zagolovok!$D$87</f>
        <v>258369.85950003564</v>
      </c>
      <c r="W63" s="148">
        <f>W60-[37]REP_Zagolovok!$D$87</f>
        <v>191073.8995000124</v>
      </c>
      <c r="Y63" s="148">
        <f>Y60-[37]REP_Zagolovok!$D$87</f>
        <v>236902.99950003624</v>
      </c>
      <c r="AA63" s="148">
        <f>AA60-[37]REP_Zagolovok!$D$87</f>
        <v>274611.82950001955</v>
      </c>
      <c r="AC63" s="148">
        <f>AC60-[37]REP_Zagolovok!$D$87</f>
        <v>166613.72950001061</v>
      </c>
      <c r="AE63" s="148">
        <f>AE60-[37]REP_Zagolovok!$D$87</f>
        <v>363859.24950000644</v>
      </c>
      <c r="AG63" s="148">
        <f>AG60-[37]REP_Zagolovok!$D$87</f>
        <v>266644.24950002134</v>
      </c>
      <c r="AI63" s="148">
        <f>AI60-[37]REP_Zagolovok!$D$87</f>
        <v>496895.84950001538</v>
      </c>
      <c r="AK63" s="148">
        <f>AK60-[37]REP_Zagolovok!$D$87</f>
        <v>462820.65950000286</v>
      </c>
      <c r="AM63" s="148">
        <f>AM60-[37]REP_Zagolovok!$D$87</f>
        <v>501332.62950001657</v>
      </c>
    </row>
    <row r="77" spans="1:40">
      <c r="A77" s="156" t="s">
        <v>65</v>
      </c>
      <c r="B77" s="156" t="s">
        <v>65</v>
      </c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333"/>
      <c r="AM77" s="156"/>
      <c r="AN77" s="333"/>
    </row>
  </sheetData>
  <mergeCells count="28">
    <mergeCell ref="AM1:AN1"/>
    <mergeCell ref="AG1:AH1"/>
    <mergeCell ref="A53:B53"/>
    <mergeCell ref="AI1:AJ1"/>
    <mergeCell ref="AE1:AF1"/>
    <mergeCell ref="A32:B32"/>
    <mergeCell ref="S1:T1"/>
    <mergeCell ref="Q1:R1"/>
    <mergeCell ref="O1:P1"/>
    <mergeCell ref="U1:V1"/>
    <mergeCell ref="AK1:AL1"/>
    <mergeCell ref="Y1:Z1"/>
    <mergeCell ref="AA1:AB1"/>
    <mergeCell ref="A33:B33"/>
    <mergeCell ref="AC1:AD1"/>
    <mergeCell ref="W1:X1"/>
    <mergeCell ref="I1:J1"/>
    <mergeCell ref="K1:L1"/>
    <mergeCell ref="M1:N1"/>
    <mergeCell ref="A54:B54"/>
    <mergeCell ref="E1:F1"/>
    <mergeCell ref="G1:H1"/>
    <mergeCell ref="C1:D1"/>
    <mergeCell ref="A9:B9"/>
    <mergeCell ref="A17:B17"/>
    <mergeCell ref="A19:B19"/>
    <mergeCell ref="A23:B23"/>
    <mergeCell ref="A31:B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W72"/>
  <sheetViews>
    <sheetView topLeftCell="A22" zoomScaleNormal="100" workbookViewId="0">
      <selection activeCell="AU29" sqref="AU29"/>
    </sheetView>
  </sheetViews>
  <sheetFormatPr defaultColWidth="9.140625" defaultRowHeight="15.75"/>
  <cols>
    <col min="1" max="1" width="38.42578125" style="56" bestFit="1" customWidth="1"/>
    <col min="2" max="2" width="22.85546875" style="56" customWidth="1"/>
    <col min="3" max="3" width="20.28515625" style="56" hidden="1" customWidth="1"/>
    <col min="4" max="4" width="10.7109375" style="332" hidden="1" customWidth="1"/>
    <col min="5" max="5" width="20.28515625" style="56" hidden="1" customWidth="1"/>
    <col min="6" max="6" width="10.7109375" style="332" hidden="1" customWidth="1"/>
    <col min="7" max="7" width="20.28515625" style="56" hidden="1" customWidth="1"/>
    <col min="8" max="8" width="10.7109375" style="332" hidden="1" customWidth="1"/>
    <col min="9" max="9" width="20.28515625" style="56" hidden="1" customWidth="1"/>
    <col min="10" max="10" width="10.7109375" style="332" hidden="1" customWidth="1"/>
    <col min="11" max="11" width="20.28515625" style="56" hidden="1" customWidth="1"/>
    <col min="12" max="12" width="10.7109375" style="332" hidden="1" customWidth="1"/>
    <col min="13" max="13" width="20.28515625" style="56" hidden="1" customWidth="1"/>
    <col min="14" max="14" width="10.7109375" style="332" hidden="1" customWidth="1"/>
    <col min="15" max="15" width="20.28515625" style="56" hidden="1" customWidth="1"/>
    <col min="16" max="16" width="10.7109375" style="332" hidden="1" customWidth="1"/>
    <col min="17" max="17" width="20.28515625" style="56" hidden="1" customWidth="1"/>
    <col min="18" max="18" width="10.7109375" style="332" hidden="1" customWidth="1"/>
    <col min="19" max="19" width="20.28515625" style="56" hidden="1" customWidth="1"/>
    <col min="20" max="20" width="11.28515625" style="332" hidden="1" customWidth="1"/>
    <col min="21" max="21" width="20.28515625" style="56" hidden="1" customWidth="1"/>
    <col min="22" max="22" width="11.28515625" style="332" hidden="1" customWidth="1"/>
    <col min="23" max="23" width="20.28515625" style="56" hidden="1" customWidth="1"/>
    <col min="24" max="24" width="11.28515625" style="332" hidden="1" customWidth="1"/>
    <col min="25" max="25" width="20.28515625" style="56" hidden="1" customWidth="1"/>
    <col min="26" max="26" width="11.28515625" style="332" hidden="1" customWidth="1"/>
    <col min="27" max="27" width="20.28515625" style="56" hidden="1" customWidth="1"/>
    <col min="28" max="28" width="11.28515625" style="332" hidden="1" customWidth="1"/>
    <col min="29" max="29" width="20.28515625" style="56" hidden="1" customWidth="1"/>
    <col min="30" max="30" width="11.28515625" style="332" hidden="1" customWidth="1"/>
    <col min="31" max="31" width="20.28515625" style="56" hidden="1" customWidth="1"/>
    <col min="32" max="32" width="11.28515625" style="332" hidden="1" customWidth="1"/>
    <col min="33" max="33" width="20.28515625" style="56" hidden="1" customWidth="1"/>
    <col min="34" max="34" width="11.28515625" style="332" hidden="1" customWidth="1"/>
    <col min="35" max="35" width="20.28515625" style="56" hidden="1" customWidth="1"/>
    <col min="36" max="36" width="11.28515625" style="332" hidden="1" customWidth="1"/>
    <col min="37" max="37" width="20.28515625" style="56" hidden="1" customWidth="1"/>
    <col min="38" max="38" width="11.28515625" style="332" hidden="1" customWidth="1"/>
    <col min="39" max="39" width="20.28515625" style="56" hidden="1" customWidth="1"/>
    <col min="40" max="40" width="11.28515625" style="332" hidden="1" customWidth="1"/>
    <col min="41" max="41" width="20.28515625" style="56" hidden="1" customWidth="1"/>
    <col min="42" max="42" width="11.28515625" style="332" hidden="1" customWidth="1"/>
    <col min="43" max="43" width="20.28515625" style="56" hidden="1" customWidth="1"/>
    <col min="44" max="44" width="11.28515625" style="332" hidden="1" customWidth="1"/>
    <col min="45" max="45" width="20.28515625" style="56" customWidth="1"/>
    <col min="46" max="46" width="11.28515625" style="332" customWidth="1"/>
    <col min="47" max="47" width="20.28515625" style="56" customWidth="1"/>
    <col min="48" max="48" width="11.28515625" style="332" customWidth="1"/>
    <col min="49" max="16384" width="9.140625" style="56"/>
  </cols>
  <sheetData>
    <row r="1" spans="1:48">
      <c r="C1" s="1014">
        <v>1</v>
      </c>
      <c r="D1" s="1015"/>
      <c r="E1" s="1014">
        <v>2</v>
      </c>
      <c r="F1" s="1015"/>
      <c r="G1" s="1014">
        <v>3</v>
      </c>
      <c r="H1" s="1015"/>
      <c r="I1" s="1014">
        <v>6</v>
      </c>
      <c r="J1" s="1015"/>
      <c r="K1" s="1014">
        <v>7</v>
      </c>
      <c r="L1" s="1015"/>
      <c r="M1" s="1014">
        <v>8</v>
      </c>
      <c r="N1" s="1015"/>
      <c r="O1" s="1014">
        <v>9</v>
      </c>
      <c r="P1" s="1015"/>
      <c r="Q1" s="1014">
        <v>10</v>
      </c>
      <c r="R1" s="1015"/>
      <c r="S1" s="1014">
        <v>13</v>
      </c>
      <c r="T1" s="1015"/>
      <c r="U1" s="1014">
        <v>14</v>
      </c>
      <c r="V1" s="1015"/>
      <c r="W1" s="1014">
        <v>15</v>
      </c>
      <c r="X1" s="1015"/>
      <c r="Y1" s="1014">
        <v>16</v>
      </c>
      <c r="Z1" s="1015"/>
      <c r="AA1" s="1014">
        <v>17</v>
      </c>
      <c r="AB1" s="1015"/>
      <c r="AC1" s="1014">
        <v>20</v>
      </c>
      <c r="AD1" s="1015"/>
      <c r="AE1" s="1014">
        <v>21</v>
      </c>
      <c r="AF1" s="1015"/>
      <c r="AG1" s="1014">
        <v>22</v>
      </c>
      <c r="AH1" s="1015"/>
      <c r="AI1" s="1014">
        <v>23</v>
      </c>
      <c r="AJ1" s="1015"/>
      <c r="AK1" s="1014">
        <v>24</v>
      </c>
      <c r="AL1" s="1015"/>
      <c r="AM1" s="1014">
        <v>27</v>
      </c>
      <c r="AN1" s="1015"/>
      <c r="AO1" s="1014">
        <v>28</v>
      </c>
      <c r="AP1" s="1015"/>
      <c r="AQ1" s="1014">
        <v>29</v>
      </c>
      <c r="AR1" s="1015"/>
      <c r="AS1" s="1014">
        <v>30</v>
      </c>
      <c r="AT1" s="1015"/>
      <c r="AU1" s="1014">
        <v>31</v>
      </c>
      <c r="AV1" s="1015"/>
    </row>
    <row r="2" spans="1:48">
      <c r="A2" s="57" t="s">
        <v>17</v>
      </c>
      <c r="B2" s="58" t="s">
        <v>15</v>
      </c>
      <c r="C2" s="314">
        <v>13100802.800000001</v>
      </c>
      <c r="D2" s="315">
        <v>12.81</v>
      </c>
      <c r="E2" s="314">
        <v>13106186.4</v>
      </c>
      <c r="F2" s="315">
        <v>12.88</v>
      </c>
      <c r="G2" s="358">
        <v>13052425.52</v>
      </c>
      <c r="H2" s="359">
        <v>12.83</v>
      </c>
      <c r="I2" s="369">
        <v>13127846</v>
      </c>
      <c r="J2" s="315">
        <v>12.86</v>
      </c>
      <c r="K2" s="199">
        <v>13127595.6</v>
      </c>
      <c r="L2" s="200">
        <v>12.88</v>
      </c>
      <c r="M2" s="369">
        <v>13132854</v>
      </c>
      <c r="N2" s="315">
        <v>12.86</v>
      </c>
      <c r="O2" s="377">
        <v>13138237.6</v>
      </c>
      <c r="P2" s="374">
        <v>12.88</v>
      </c>
      <c r="Q2" s="377">
        <v>13143496</v>
      </c>
      <c r="R2" s="374">
        <v>12.86</v>
      </c>
      <c r="S2" s="377">
        <v>13159271.199999999</v>
      </c>
      <c r="T2" s="374">
        <v>12.98</v>
      </c>
      <c r="U2" s="377">
        <v>13184686.800000001</v>
      </c>
      <c r="V2" s="374">
        <v>12.98</v>
      </c>
      <c r="W2" s="377">
        <v>13189820</v>
      </c>
      <c r="X2" s="374">
        <v>13.01</v>
      </c>
      <c r="Y2" s="377">
        <v>13194953.199999999</v>
      </c>
      <c r="Z2" s="374">
        <v>13.01</v>
      </c>
      <c r="AA2" s="377">
        <v>13200086.4</v>
      </c>
      <c r="AB2" s="374">
        <v>13</v>
      </c>
      <c r="AC2" s="390">
        <v>13215486</v>
      </c>
      <c r="AD2" s="374">
        <v>12.99</v>
      </c>
      <c r="AE2" s="390">
        <v>13223874.4</v>
      </c>
      <c r="AF2" s="374">
        <v>13.02</v>
      </c>
      <c r="AG2" s="390">
        <v>13228882.4</v>
      </c>
      <c r="AH2" s="374">
        <v>13.02</v>
      </c>
      <c r="AI2" s="390">
        <v>13233890.4</v>
      </c>
      <c r="AJ2" s="374">
        <v>13.04</v>
      </c>
      <c r="AK2" s="390">
        <v>13238898.4</v>
      </c>
      <c r="AL2" s="374">
        <v>13.01</v>
      </c>
      <c r="AM2" s="390">
        <v>13253922.4</v>
      </c>
      <c r="AN2" s="374">
        <v>13.01</v>
      </c>
      <c r="AO2" s="390">
        <v>13260432.800000001</v>
      </c>
      <c r="AP2" s="374">
        <v>13.04</v>
      </c>
      <c r="AQ2" s="390">
        <v>13265440.800000001</v>
      </c>
      <c r="AR2" s="374">
        <v>13</v>
      </c>
      <c r="AS2" s="390">
        <v>13270323.6</v>
      </c>
      <c r="AT2" s="374">
        <v>13.02</v>
      </c>
      <c r="AU2" s="390">
        <v>13272326.800000001</v>
      </c>
      <c r="AV2" s="374">
        <v>13.03</v>
      </c>
    </row>
    <row r="3" spans="1:48">
      <c r="A3" s="57" t="s">
        <v>18</v>
      </c>
      <c r="B3" s="58" t="s">
        <v>15</v>
      </c>
      <c r="C3" s="311">
        <v>8088090</v>
      </c>
      <c r="D3" s="315">
        <v>7.91</v>
      </c>
      <c r="E3" s="311">
        <v>8091745</v>
      </c>
      <c r="F3" s="315">
        <v>7.95</v>
      </c>
      <c r="G3" s="311">
        <v>8095315</v>
      </c>
      <c r="H3" s="315">
        <v>7.96</v>
      </c>
      <c r="I3" s="370">
        <v>8106110</v>
      </c>
      <c r="J3" s="315">
        <v>7.94</v>
      </c>
      <c r="K3" s="208">
        <v>8140535</v>
      </c>
      <c r="L3" s="205">
        <v>7.99</v>
      </c>
      <c r="M3" s="370">
        <v>8112400</v>
      </c>
      <c r="N3" s="315">
        <v>7.94</v>
      </c>
      <c r="O3" s="375">
        <v>8115885</v>
      </c>
      <c r="P3" s="374">
        <v>7.96</v>
      </c>
      <c r="Q3" s="375">
        <v>8119370</v>
      </c>
      <c r="R3" s="374">
        <v>7.95</v>
      </c>
      <c r="S3" s="375">
        <v>8129825</v>
      </c>
      <c r="T3" s="374">
        <v>8.02</v>
      </c>
      <c r="U3" s="375">
        <v>8146655</v>
      </c>
      <c r="V3" s="374">
        <v>8.02</v>
      </c>
      <c r="W3" s="375">
        <v>8150140</v>
      </c>
      <c r="X3" s="374">
        <v>8.0399999999999991</v>
      </c>
      <c r="Y3" s="375">
        <v>8153625</v>
      </c>
      <c r="Z3" s="374">
        <v>8.0399999999999991</v>
      </c>
      <c r="AA3" s="375">
        <v>8157110</v>
      </c>
      <c r="AB3" s="374">
        <v>8.0299999999999994</v>
      </c>
      <c r="AC3" s="370">
        <v>8167480</v>
      </c>
      <c r="AD3" s="374">
        <v>8.02</v>
      </c>
      <c r="AE3" s="370">
        <v>8173855</v>
      </c>
      <c r="AF3" s="374">
        <v>8.0500000000000007</v>
      </c>
      <c r="AG3" s="370">
        <v>8177255</v>
      </c>
      <c r="AH3" s="374">
        <v>8.0500000000000007</v>
      </c>
      <c r="AI3" s="370">
        <v>8180655</v>
      </c>
      <c r="AJ3" s="374">
        <v>8.06</v>
      </c>
      <c r="AK3" s="370">
        <v>8184140</v>
      </c>
      <c r="AL3" s="374">
        <v>8.0399999999999991</v>
      </c>
      <c r="AM3" s="370">
        <v>8194340</v>
      </c>
      <c r="AN3" s="374">
        <v>8.0499999999999989</v>
      </c>
      <c r="AO3" s="370">
        <v>8198165</v>
      </c>
      <c r="AP3" s="374">
        <v>8.06</v>
      </c>
      <c r="AQ3" s="370">
        <v>8201565</v>
      </c>
      <c r="AR3" s="374">
        <v>8.0399999999999991</v>
      </c>
      <c r="AS3" s="370">
        <v>8204965</v>
      </c>
      <c r="AT3" s="374">
        <v>8.0500000000000007</v>
      </c>
      <c r="AU3" s="370">
        <v>8204880</v>
      </c>
      <c r="AV3" s="374">
        <v>8.0500000000000007</v>
      </c>
    </row>
    <row r="4" spans="1:48">
      <c r="A4" s="57" t="s">
        <v>19</v>
      </c>
      <c r="B4" s="58" t="s">
        <v>15</v>
      </c>
      <c r="C4" s="312">
        <v>3515976</v>
      </c>
      <c r="D4" s="315">
        <v>3.44</v>
      </c>
      <c r="E4" s="312">
        <v>3517668</v>
      </c>
      <c r="F4" s="315">
        <v>3.46</v>
      </c>
      <c r="G4" s="312">
        <v>3519360</v>
      </c>
      <c r="H4" s="315">
        <v>3.46</v>
      </c>
      <c r="I4" s="371">
        <v>3524436</v>
      </c>
      <c r="J4" s="315">
        <v>3.45</v>
      </c>
      <c r="K4" s="203">
        <v>3528504</v>
      </c>
      <c r="L4" s="200">
        <v>3.46</v>
      </c>
      <c r="M4" s="371">
        <v>3530124</v>
      </c>
      <c r="N4" s="315">
        <v>3.46</v>
      </c>
      <c r="O4" s="375">
        <v>3531708</v>
      </c>
      <c r="P4" s="374">
        <v>3.46</v>
      </c>
      <c r="Q4" s="375">
        <v>3533328</v>
      </c>
      <c r="R4" s="374">
        <v>3.46</v>
      </c>
      <c r="S4" s="375">
        <v>3538152</v>
      </c>
      <c r="T4" s="374">
        <v>3.49</v>
      </c>
      <c r="U4" s="375">
        <v>3543912</v>
      </c>
      <c r="V4" s="374">
        <v>3.49</v>
      </c>
      <c r="W4" s="375">
        <v>3545568</v>
      </c>
      <c r="X4" s="374">
        <v>3.5</v>
      </c>
      <c r="Y4" s="375">
        <v>3547224</v>
      </c>
      <c r="Z4" s="374">
        <v>3.5</v>
      </c>
      <c r="AA4" s="375">
        <v>3548916</v>
      </c>
      <c r="AB4" s="374">
        <v>3.49</v>
      </c>
      <c r="AC4" s="370">
        <v>3553848</v>
      </c>
      <c r="AD4" s="374">
        <v>3.49</v>
      </c>
      <c r="AE4" s="370">
        <v>3556944</v>
      </c>
      <c r="AF4" s="374">
        <v>3.5</v>
      </c>
      <c r="AG4" s="370">
        <v>3558600</v>
      </c>
      <c r="AH4" s="374">
        <v>3.5</v>
      </c>
      <c r="AI4" s="370">
        <v>3560256</v>
      </c>
      <c r="AJ4" s="374">
        <v>3.51</v>
      </c>
      <c r="AK4" s="370">
        <v>3561912</v>
      </c>
      <c r="AL4" s="374">
        <v>3.5</v>
      </c>
      <c r="AM4" s="370">
        <v>3566808</v>
      </c>
      <c r="AN4" s="374">
        <v>3.5</v>
      </c>
      <c r="AO4" s="370">
        <v>3567888</v>
      </c>
      <c r="AP4" s="374">
        <v>3.51</v>
      </c>
      <c r="AQ4" s="370">
        <v>3569544</v>
      </c>
      <c r="AR4" s="374">
        <v>3.5</v>
      </c>
      <c r="AS4" s="370">
        <v>3571200</v>
      </c>
      <c r="AT4" s="374">
        <v>3.5</v>
      </c>
      <c r="AU4" s="370">
        <v>3570336</v>
      </c>
      <c r="AV4" s="374">
        <v>3.5</v>
      </c>
    </row>
    <row r="5" spans="1:48">
      <c r="A5" s="57" t="s">
        <v>20</v>
      </c>
      <c r="B5" s="58" t="s">
        <v>15</v>
      </c>
      <c r="C5" s="311">
        <v>2101281</v>
      </c>
      <c r="D5" s="315">
        <v>2.0499999999999998</v>
      </c>
      <c r="E5" s="311">
        <v>2102373</v>
      </c>
      <c r="F5" s="315">
        <v>2.0699999999999998</v>
      </c>
      <c r="G5" s="360">
        <v>2095715.37</v>
      </c>
      <c r="H5" s="359">
        <v>2.06</v>
      </c>
      <c r="I5" s="360">
        <v>2098555.62</v>
      </c>
      <c r="J5" s="359">
        <v>2.06</v>
      </c>
      <c r="K5" s="208">
        <v>2096730.3</v>
      </c>
      <c r="L5" s="205">
        <v>2.06</v>
      </c>
      <c r="M5" s="370">
        <v>2113419</v>
      </c>
      <c r="N5" s="315">
        <v>2.0699999999999998</v>
      </c>
      <c r="O5" s="375">
        <v>2114448</v>
      </c>
      <c r="P5" s="374">
        <v>2.0699999999999998</v>
      </c>
      <c r="Q5" s="375">
        <v>2099612.5499999998</v>
      </c>
      <c r="R5" s="374">
        <v>2.06</v>
      </c>
      <c r="S5" s="375">
        <v>2118564</v>
      </c>
      <c r="T5" s="374">
        <v>2.09</v>
      </c>
      <c r="U5" s="360">
        <v>2084796</v>
      </c>
      <c r="V5" s="379">
        <v>2.0499999999999998</v>
      </c>
      <c r="W5" s="360">
        <v>2104430.16</v>
      </c>
      <c r="X5" s="379">
        <v>2.0700000000000003</v>
      </c>
      <c r="Y5" s="370">
        <v>2121105</v>
      </c>
      <c r="Z5" s="374">
        <v>2.09</v>
      </c>
      <c r="AA5" s="360">
        <v>2122176</v>
      </c>
      <c r="AB5" s="379">
        <v>2.09</v>
      </c>
      <c r="AC5" s="370">
        <v>2125410</v>
      </c>
      <c r="AD5" s="374">
        <v>2.09</v>
      </c>
      <c r="AE5" s="370">
        <v>2127279</v>
      </c>
      <c r="AF5" s="374">
        <v>2.0999999999999996</v>
      </c>
      <c r="AG5" s="360">
        <v>2111191.9500000002</v>
      </c>
      <c r="AH5" s="379">
        <v>2.08</v>
      </c>
      <c r="AI5" s="360">
        <v>2114795.34</v>
      </c>
      <c r="AJ5" s="379">
        <v>2.08</v>
      </c>
      <c r="AK5" s="360">
        <v>2115743.7000000002</v>
      </c>
      <c r="AL5" s="379">
        <v>2.08</v>
      </c>
      <c r="AM5" s="370">
        <v>2133747</v>
      </c>
      <c r="AN5" s="374">
        <v>2.09</v>
      </c>
      <c r="AO5" s="370">
        <v>2133726</v>
      </c>
      <c r="AP5" s="374">
        <v>2.1</v>
      </c>
      <c r="AQ5" s="370">
        <v>2134818</v>
      </c>
      <c r="AR5" s="374">
        <v>2.09</v>
      </c>
      <c r="AS5" s="370">
        <v>2135889</v>
      </c>
      <c r="AT5" s="374">
        <v>2.1</v>
      </c>
      <c r="AU5" s="370">
        <v>2134776</v>
      </c>
      <c r="AV5" s="374">
        <v>2.0999999999999996</v>
      </c>
    </row>
    <row r="6" spans="1:48">
      <c r="A6" s="57" t="s">
        <v>21</v>
      </c>
      <c r="B6" s="58" t="s">
        <v>15</v>
      </c>
      <c r="C6" s="311">
        <v>8697139.1500000004</v>
      </c>
      <c r="D6" s="315">
        <v>8.5</v>
      </c>
      <c r="E6" s="311">
        <v>8701765.5199999996</v>
      </c>
      <c r="F6" s="315">
        <v>8.5500000000000007</v>
      </c>
      <c r="G6" s="311">
        <v>8706391.8900000006</v>
      </c>
      <c r="H6" s="315">
        <v>8.56</v>
      </c>
      <c r="I6" s="370">
        <v>8720096.4199999999</v>
      </c>
      <c r="J6" s="315">
        <v>8.5399999999999991</v>
      </c>
      <c r="K6" s="202">
        <v>8748552.9600000009</v>
      </c>
      <c r="L6" s="200">
        <v>8.58</v>
      </c>
      <c r="M6" s="370">
        <v>8752917.4600000009</v>
      </c>
      <c r="N6" s="315">
        <v>8.57</v>
      </c>
      <c r="O6" s="375">
        <v>8757281.9600000009</v>
      </c>
      <c r="P6" s="374">
        <v>8.59</v>
      </c>
      <c r="Q6" s="375">
        <v>8761559.1699999999</v>
      </c>
      <c r="R6" s="374">
        <v>8.58</v>
      </c>
      <c r="S6" s="375">
        <v>8774652.6699999999</v>
      </c>
      <c r="T6" s="374">
        <v>8.65</v>
      </c>
      <c r="U6" s="375">
        <v>8771161.0700000003</v>
      </c>
      <c r="V6" s="374">
        <v>8.64</v>
      </c>
      <c r="W6" s="375">
        <v>8775787.4399999995</v>
      </c>
      <c r="X6" s="374">
        <v>8.65</v>
      </c>
      <c r="Y6" s="375">
        <v>8780326.5199999996</v>
      </c>
      <c r="Z6" s="374">
        <v>8.66</v>
      </c>
      <c r="AA6" s="375">
        <v>8784952.8900000006</v>
      </c>
      <c r="AB6" s="374">
        <v>8.65</v>
      </c>
      <c r="AC6" s="370">
        <v>8798744.7100000009</v>
      </c>
      <c r="AD6" s="374">
        <v>8.65</v>
      </c>
      <c r="AE6" s="370">
        <v>8806251.6500000004</v>
      </c>
      <c r="AF6" s="374">
        <v>8.67</v>
      </c>
      <c r="AG6" s="370">
        <v>8810878.0199999996</v>
      </c>
      <c r="AH6" s="374">
        <v>8.68</v>
      </c>
      <c r="AI6" s="370">
        <v>8815504.3900000006</v>
      </c>
      <c r="AJ6" s="374">
        <v>8.68</v>
      </c>
      <c r="AK6" s="370">
        <v>8820043.4700000007</v>
      </c>
      <c r="AL6" s="374">
        <v>8.67</v>
      </c>
      <c r="AM6" s="370">
        <v>8833748</v>
      </c>
      <c r="AN6" s="374">
        <v>8.67</v>
      </c>
      <c r="AO6" s="370">
        <v>8832875.0999999996</v>
      </c>
      <c r="AP6" s="374">
        <v>8.68</v>
      </c>
      <c r="AQ6" s="370">
        <v>8837501.4700000007</v>
      </c>
      <c r="AR6" s="374">
        <v>8.66</v>
      </c>
      <c r="AS6" s="370">
        <v>8842040.5500000007</v>
      </c>
      <c r="AT6" s="374">
        <v>8.68</v>
      </c>
      <c r="AU6" s="370">
        <v>8836628.5700000003</v>
      </c>
      <c r="AV6" s="374">
        <v>8.67</v>
      </c>
    </row>
    <row r="7" spans="1:48">
      <c r="A7" s="57" t="s">
        <v>96</v>
      </c>
      <c r="B7" s="58" t="s">
        <v>15</v>
      </c>
      <c r="C7" s="312">
        <v>5155040</v>
      </c>
      <c r="D7" s="315">
        <v>5.03</v>
      </c>
      <c r="E7" s="312">
        <v>7535812</v>
      </c>
      <c r="F7" s="315">
        <v>7.4</v>
      </c>
      <c r="G7" s="312">
        <v>7540336.7999999998</v>
      </c>
      <c r="H7" s="315">
        <v>7.41</v>
      </c>
      <c r="I7" s="371">
        <v>7553830.4000000004</v>
      </c>
      <c r="J7" s="315">
        <v>7.4</v>
      </c>
      <c r="K7" s="203">
        <v>7618389.5999999996</v>
      </c>
      <c r="L7" s="200">
        <v>7.48</v>
      </c>
      <c r="M7" s="371">
        <v>7622752.7999999998</v>
      </c>
      <c r="N7" s="315">
        <v>7.47</v>
      </c>
      <c r="O7" s="376">
        <v>7627035.2000000002</v>
      </c>
      <c r="P7" s="374">
        <v>7.48</v>
      </c>
      <c r="Q7" s="376">
        <v>7631398.4000000004</v>
      </c>
      <c r="R7" s="374">
        <v>7.47</v>
      </c>
      <c r="S7" s="376">
        <v>7644326.4000000004</v>
      </c>
      <c r="T7" s="374">
        <v>7.54</v>
      </c>
      <c r="U7" s="376">
        <v>7592048.7999999998</v>
      </c>
      <c r="V7" s="374">
        <v>7.48</v>
      </c>
      <c r="W7" s="376">
        <v>7596654.4000000004</v>
      </c>
      <c r="X7" s="374">
        <v>7.49</v>
      </c>
      <c r="Y7" s="376">
        <v>7601260</v>
      </c>
      <c r="Z7" s="374">
        <v>7.5</v>
      </c>
      <c r="AA7" s="376">
        <v>7548395.79</v>
      </c>
      <c r="AB7" s="374">
        <v>7.43</v>
      </c>
      <c r="AC7" s="371">
        <v>7619601.5999999996</v>
      </c>
      <c r="AD7" s="374">
        <v>7.49</v>
      </c>
      <c r="AE7" s="371">
        <v>7621783.2000000002</v>
      </c>
      <c r="AF7" s="374">
        <v>7.51</v>
      </c>
      <c r="AG7" s="392">
        <v>7567724.7699999996</v>
      </c>
      <c r="AH7" s="379">
        <v>7.45</v>
      </c>
      <c r="AI7" s="371">
        <v>7630994.4000000004</v>
      </c>
      <c r="AJ7" s="374">
        <v>7.52</v>
      </c>
      <c r="AK7" s="371">
        <v>7635600</v>
      </c>
      <c r="AL7" s="374">
        <v>7.5</v>
      </c>
      <c r="AM7" s="371">
        <v>7649497.5999999996</v>
      </c>
      <c r="AN7" s="374">
        <v>7.51</v>
      </c>
      <c r="AO7" s="392">
        <v>7590968.5</v>
      </c>
      <c r="AP7" s="379">
        <v>7.46</v>
      </c>
      <c r="AQ7" s="392">
        <v>7628900.0700000003</v>
      </c>
      <c r="AR7" s="379">
        <v>7.48</v>
      </c>
      <c r="AS7" s="392">
        <v>7654507.2000000002</v>
      </c>
      <c r="AT7" s="379">
        <v>7.51</v>
      </c>
      <c r="AU7" s="371">
        <v>7645457.5999999996</v>
      </c>
      <c r="AV7" s="374">
        <v>7.5</v>
      </c>
    </row>
    <row r="8" spans="1:48">
      <c r="A8" s="353" t="s">
        <v>66</v>
      </c>
      <c r="B8" s="58" t="s">
        <v>15</v>
      </c>
      <c r="C8" s="354"/>
      <c r="D8" s="355"/>
      <c r="E8" s="356">
        <v>5158144.16</v>
      </c>
      <c r="F8" s="357">
        <v>5.07</v>
      </c>
      <c r="G8" s="356">
        <v>5161247.74</v>
      </c>
      <c r="H8" s="357">
        <v>5.07</v>
      </c>
      <c r="I8" s="372">
        <v>5355198</v>
      </c>
      <c r="J8" s="355">
        <v>5.24</v>
      </c>
      <c r="K8" s="208">
        <v>4996468</v>
      </c>
      <c r="L8" s="205">
        <v>4.9000000000000004</v>
      </c>
      <c r="M8" s="356">
        <v>5176767.96</v>
      </c>
      <c r="N8" s="357">
        <v>5.07</v>
      </c>
      <c r="O8" s="375">
        <v>5004393.12</v>
      </c>
      <c r="P8" s="374">
        <v>4.91</v>
      </c>
      <c r="Q8" s="375">
        <v>5182975.7</v>
      </c>
      <c r="R8" s="374">
        <v>5.07</v>
      </c>
      <c r="S8" s="360">
        <v>5156269.5999999996</v>
      </c>
      <c r="T8" s="379">
        <v>5.08</v>
      </c>
      <c r="U8" s="370">
        <v>5366508</v>
      </c>
      <c r="V8" s="374">
        <v>5.2700000000000005</v>
      </c>
      <c r="W8" s="360">
        <v>5162593.34</v>
      </c>
      <c r="X8" s="379">
        <v>5.09</v>
      </c>
      <c r="Y8" s="360">
        <v>5165755.5</v>
      </c>
      <c r="Z8" s="379">
        <v>5.09</v>
      </c>
      <c r="AA8" s="370">
        <v>5377006</v>
      </c>
      <c r="AB8" s="374">
        <v>5.29</v>
      </c>
      <c r="AC8" s="370">
        <v>5387504</v>
      </c>
      <c r="AD8" s="374">
        <v>5.29</v>
      </c>
      <c r="AE8" s="360">
        <v>5146185.1399999997</v>
      </c>
      <c r="AF8" s="379">
        <v>5.07</v>
      </c>
      <c r="AG8" s="360">
        <v>5220397.3</v>
      </c>
      <c r="AH8" s="379">
        <v>5.14</v>
      </c>
      <c r="AI8" s="393">
        <v>5055823.46</v>
      </c>
      <c r="AJ8" s="394">
        <v>4.9800000000000004</v>
      </c>
      <c r="AK8" s="360">
        <v>5226665.9400000004</v>
      </c>
      <c r="AL8" s="379">
        <v>5.14</v>
      </c>
      <c r="AM8" s="393">
        <v>5200570</v>
      </c>
      <c r="AN8" s="394">
        <v>5.1100000000000003</v>
      </c>
      <c r="AO8" s="360">
        <v>5099589.0999999996</v>
      </c>
      <c r="AP8" s="379">
        <v>5.01</v>
      </c>
      <c r="AQ8" s="370">
        <v>5413488</v>
      </c>
      <c r="AR8" s="374">
        <v>5.3</v>
      </c>
      <c r="AS8" s="370">
        <v>5195285.62</v>
      </c>
      <c r="AT8" s="374">
        <v>5.0999999999999996</v>
      </c>
      <c r="AU8" s="360">
        <v>5178326.42</v>
      </c>
      <c r="AV8" s="379">
        <v>5.08</v>
      </c>
    </row>
    <row r="9" spans="1:48" ht="16.5" thickBot="1">
      <c r="A9" s="1020" t="s">
        <v>22</v>
      </c>
      <c r="B9" s="1021"/>
      <c r="C9" s="62">
        <f>SUM(C2:C7)</f>
        <v>40658328.950000003</v>
      </c>
      <c r="D9" s="306">
        <f>SUM(D2:D7)</f>
        <v>39.74</v>
      </c>
      <c r="E9" s="62">
        <f t="shared" ref="E9:J9" si="0">SUM(E2:E8)</f>
        <v>48213694.079999998</v>
      </c>
      <c r="F9" s="62">
        <f t="shared" si="0"/>
        <v>47.38</v>
      </c>
      <c r="G9" s="62">
        <f t="shared" si="0"/>
        <v>48170792.32</v>
      </c>
      <c r="H9" s="62">
        <f t="shared" si="0"/>
        <v>47.35</v>
      </c>
      <c r="I9" s="62">
        <f t="shared" si="0"/>
        <v>48486072.439999998</v>
      </c>
      <c r="J9" s="62">
        <f t="shared" si="0"/>
        <v>47.489999999999995</v>
      </c>
      <c r="K9" s="62">
        <f t="shared" ref="K9:P9" si="1">SUM(K2:K8)</f>
        <v>48256775.460000001</v>
      </c>
      <c r="L9" s="62">
        <f t="shared" si="1"/>
        <v>47.35</v>
      </c>
      <c r="M9" s="62">
        <f t="shared" si="1"/>
        <v>48441235.219999999</v>
      </c>
      <c r="N9" s="62">
        <f t="shared" si="1"/>
        <v>47.440000000000005</v>
      </c>
      <c r="O9" s="62">
        <f t="shared" si="1"/>
        <v>48288988.880000003</v>
      </c>
      <c r="P9" s="62">
        <f t="shared" si="1"/>
        <v>47.349999999999994</v>
      </c>
      <c r="Q9" s="62">
        <f t="shared" ref="Q9:X9" si="2">SUM(Q2:Q8)</f>
        <v>48471739.82</v>
      </c>
      <c r="R9" s="62">
        <f t="shared" si="2"/>
        <v>47.449999999999996</v>
      </c>
      <c r="S9" s="62">
        <f t="shared" si="2"/>
        <v>48521060.869999997</v>
      </c>
      <c r="T9" s="62">
        <f t="shared" si="2"/>
        <v>47.85</v>
      </c>
      <c r="U9" s="62">
        <f t="shared" si="2"/>
        <v>48689767.670000002</v>
      </c>
      <c r="V9" s="62">
        <f t="shared" si="2"/>
        <v>47.930000000000014</v>
      </c>
      <c r="W9" s="62">
        <f t="shared" si="2"/>
        <v>48524993.340000004</v>
      </c>
      <c r="X9" s="62">
        <f t="shared" si="2"/>
        <v>47.849999999999994</v>
      </c>
      <c r="Y9" s="62">
        <f t="shared" ref="Y9:AD9" si="3">SUM(Y2:Y8)</f>
        <v>48564249.219999999</v>
      </c>
      <c r="Z9" s="62">
        <f t="shared" si="3"/>
        <v>47.89</v>
      </c>
      <c r="AA9" s="62">
        <f t="shared" si="3"/>
        <v>48738643.079999998</v>
      </c>
      <c r="AB9" s="62">
        <f t="shared" si="3"/>
        <v>47.980000000000004</v>
      </c>
      <c r="AC9" s="62">
        <f t="shared" si="3"/>
        <v>48868074.310000002</v>
      </c>
      <c r="AD9" s="62">
        <f t="shared" si="3"/>
        <v>48.02</v>
      </c>
      <c r="AE9" s="62">
        <f t="shared" ref="AE9:AJ9" si="4">SUM(AE2:AE8)</f>
        <v>48656172.390000001</v>
      </c>
      <c r="AF9" s="62">
        <f t="shared" si="4"/>
        <v>47.92</v>
      </c>
      <c r="AG9" s="62">
        <f t="shared" si="4"/>
        <v>48674929.439999998</v>
      </c>
      <c r="AH9" s="62">
        <f t="shared" si="4"/>
        <v>47.92</v>
      </c>
      <c r="AI9" s="62">
        <f t="shared" si="4"/>
        <v>48591918.989999995</v>
      </c>
      <c r="AJ9" s="62">
        <f t="shared" si="4"/>
        <v>47.870000000000005</v>
      </c>
      <c r="AK9" s="62">
        <f t="shared" ref="AK9:AP9" si="5">SUM(AK2:AK8)</f>
        <v>48783003.509999998</v>
      </c>
      <c r="AL9" s="62">
        <f t="shared" si="5"/>
        <v>47.94</v>
      </c>
      <c r="AM9" s="62">
        <f t="shared" si="5"/>
        <v>48832633</v>
      </c>
      <c r="AN9" s="62">
        <f t="shared" si="5"/>
        <v>47.94</v>
      </c>
      <c r="AO9" s="62">
        <f t="shared" si="5"/>
        <v>48683644.5</v>
      </c>
      <c r="AP9" s="62">
        <f t="shared" si="5"/>
        <v>47.86</v>
      </c>
      <c r="AQ9" s="62">
        <f t="shared" ref="AQ9:AV9" si="6">SUM(AQ2:AQ8)</f>
        <v>49051257.340000004</v>
      </c>
      <c r="AR9" s="62">
        <f t="shared" si="6"/>
        <v>48.069999999999993</v>
      </c>
      <c r="AS9" s="62">
        <f t="shared" si="6"/>
        <v>48874210.970000006</v>
      </c>
      <c r="AT9" s="62">
        <f t="shared" si="6"/>
        <v>47.96</v>
      </c>
      <c r="AU9" s="62">
        <f t="shared" si="6"/>
        <v>48842731.390000008</v>
      </c>
      <c r="AV9" s="62">
        <f t="shared" si="6"/>
        <v>47.93</v>
      </c>
    </row>
    <row r="10" spans="1:48" ht="47.25">
      <c r="A10" s="64" t="s">
        <v>23</v>
      </c>
      <c r="B10" s="65" t="s">
        <v>24</v>
      </c>
      <c r="C10" s="317">
        <v>4104000</v>
      </c>
      <c r="D10" s="315">
        <v>4.01</v>
      </c>
      <c r="E10" s="317">
        <v>4104000</v>
      </c>
      <c r="F10" s="315">
        <v>4.03</v>
      </c>
      <c r="G10" s="317">
        <v>4104000</v>
      </c>
      <c r="H10" s="315">
        <v>4.03</v>
      </c>
      <c r="I10" s="317">
        <v>4104000</v>
      </c>
      <c r="J10" s="315">
        <v>4.0199999999999996</v>
      </c>
      <c r="K10" s="317">
        <v>4104000</v>
      </c>
      <c r="L10" s="315">
        <v>4.03</v>
      </c>
      <c r="M10" s="317">
        <v>4104000</v>
      </c>
      <c r="N10" s="315">
        <v>4.0199999999999996</v>
      </c>
      <c r="O10" s="378">
        <v>4104000</v>
      </c>
      <c r="P10" s="374">
        <v>4.0299999999999994</v>
      </c>
      <c r="Q10" s="378">
        <v>4104000</v>
      </c>
      <c r="R10" s="374">
        <v>4.0199999999999996</v>
      </c>
      <c r="S10" s="378">
        <v>4104000</v>
      </c>
      <c r="T10" s="374">
        <v>4.05</v>
      </c>
      <c r="U10" s="378">
        <v>4104000</v>
      </c>
      <c r="V10" s="374">
        <v>4.04</v>
      </c>
      <c r="W10" s="378">
        <v>4104000</v>
      </c>
      <c r="X10" s="374">
        <v>4.05</v>
      </c>
      <c r="Y10" s="378">
        <v>4104000</v>
      </c>
      <c r="Z10" s="374">
        <v>4.05</v>
      </c>
      <c r="AA10" s="378">
        <v>4104000</v>
      </c>
      <c r="AB10" s="374">
        <v>4.04</v>
      </c>
      <c r="AC10" s="378">
        <v>4104000</v>
      </c>
      <c r="AD10" s="374">
        <v>4.03</v>
      </c>
      <c r="AE10" s="378">
        <v>4104000</v>
      </c>
      <c r="AF10" s="374">
        <v>4.04</v>
      </c>
      <c r="AG10" s="378">
        <v>4104000</v>
      </c>
      <c r="AH10" s="374">
        <v>4.04</v>
      </c>
      <c r="AI10" s="378">
        <v>4104000</v>
      </c>
      <c r="AJ10" s="374">
        <v>4.04</v>
      </c>
      <c r="AK10" s="378">
        <v>4104000</v>
      </c>
      <c r="AL10" s="374">
        <v>4.03</v>
      </c>
      <c r="AM10" s="378">
        <v>4104000</v>
      </c>
      <c r="AN10" s="374">
        <v>4.03</v>
      </c>
      <c r="AO10" s="224">
        <v>4104000</v>
      </c>
      <c r="AP10" s="200">
        <v>4.03</v>
      </c>
      <c r="AQ10" s="224">
        <v>4104000</v>
      </c>
      <c r="AR10" s="200">
        <v>4.0199999999999996</v>
      </c>
      <c r="AS10" s="224">
        <v>4104000</v>
      </c>
      <c r="AT10" s="200">
        <v>4.03</v>
      </c>
      <c r="AU10" s="224">
        <v>4104000</v>
      </c>
      <c r="AV10" s="200">
        <v>4.03</v>
      </c>
    </row>
    <row r="11" spans="1:48" ht="47.25">
      <c r="A11" s="68" t="s">
        <v>25</v>
      </c>
      <c r="B11" s="69" t="s">
        <v>26</v>
      </c>
      <c r="C11" s="317">
        <v>3974241.29</v>
      </c>
      <c r="D11" s="315">
        <v>3.89</v>
      </c>
      <c r="E11" s="317">
        <v>3976833.64</v>
      </c>
      <c r="F11" s="315">
        <v>3.91</v>
      </c>
      <c r="G11" s="317">
        <v>3979425.99</v>
      </c>
      <c r="H11" s="315">
        <v>3.91</v>
      </c>
      <c r="I11" s="317">
        <v>3987203.03</v>
      </c>
      <c r="J11" s="315">
        <v>3.9</v>
      </c>
      <c r="K11" s="317">
        <v>3989795.37</v>
      </c>
      <c r="L11" s="315">
        <v>3.91</v>
      </c>
      <c r="M11" s="317">
        <v>3992387.72</v>
      </c>
      <c r="N11" s="315">
        <v>3.91</v>
      </c>
      <c r="O11" s="378">
        <v>3994980.07</v>
      </c>
      <c r="P11" s="374">
        <v>3.92</v>
      </c>
      <c r="Q11" s="378">
        <v>3997572.41</v>
      </c>
      <c r="R11" s="374">
        <v>3.91</v>
      </c>
      <c r="S11" s="378">
        <v>4005349.45</v>
      </c>
      <c r="T11" s="374">
        <v>3.95</v>
      </c>
      <c r="U11" s="378">
        <v>4007941.8</v>
      </c>
      <c r="V11" s="374">
        <v>3.95</v>
      </c>
      <c r="W11" s="378">
        <v>4010534.15</v>
      </c>
      <c r="X11" s="374">
        <v>3.95</v>
      </c>
      <c r="Y11" s="378">
        <v>4013126.49</v>
      </c>
      <c r="Z11" s="374">
        <v>3.96</v>
      </c>
      <c r="AA11" s="378">
        <v>4015718.84</v>
      </c>
      <c r="AB11" s="374">
        <v>3.95</v>
      </c>
      <c r="AC11" s="378">
        <v>3790184.69</v>
      </c>
      <c r="AD11" s="374">
        <v>3.73</v>
      </c>
      <c r="AE11" s="378">
        <v>3792777.04</v>
      </c>
      <c r="AF11" s="374">
        <v>3.74</v>
      </c>
      <c r="AG11" s="378">
        <v>3795369.38</v>
      </c>
      <c r="AH11" s="374">
        <v>3.74</v>
      </c>
      <c r="AI11" s="378">
        <v>3797961.73</v>
      </c>
      <c r="AJ11" s="374">
        <v>3.74</v>
      </c>
      <c r="AK11" s="378">
        <v>3800554.08</v>
      </c>
      <c r="AL11" s="374">
        <v>3.73</v>
      </c>
      <c r="AM11" s="378">
        <v>3808331.12</v>
      </c>
      <c r="AN11" s="374">
        <v>3.74</v>
      </c>
      <c r="AO11" s="224">
        <v>3810923.47</v>
      </c>
      <c r="AP11" s="200">
        <v>3.75</v>
      </c>
      <c r="AQ11" s="224">
        <v>3813515.81</v>
      </c>
      <c r="AR11" s="200">
        <v>3.7300000000000004</v>
      </c>
      <c r="AS11" s="224">
        <v>3816108.16</v>
      </c>
      <c r="AT11" s="200">
        <v>3.75</v>
      </c>
      <c r="AU11" s="224">
        <v>3818700.5</v>
      </c>
      <c r="AV11" s="200">
        <v>3.75</v>
      </c>
    </row>
    <row r="12" spans="1:48" ht="47.25">
      <c r="A12" s="70" t="s">
        <v>27</v>
      </c>
      <c r="B12" s="71" t="s">
        <v>26</v>
      </c>
      <c r="C12" s="317">
        <v>315000</v>
      </c>
      <c r="D12" s="315">
        <v>0.31</v>
      </c>
      <c r="E12" s="317">
        <v>315000</v>
      </c>
      <c r="F12" s="315">
        <v>0.31</v>
      </c>
      <c r="G12" s="317">
        <v>315000</v>
      </c>
      <c r="H12" s="315">
        <v>0.31</v>
      </c>
      <c r="I12" s="317">
        <v>315000</v>
      </c>
      <c r="J12" s="315">
        <v>0.31</v>
      </c>
      <c r="K12" s="317">
        <v>315000</v>
      </c>
      <c r="L12" s="315">
        <v>0.31</v>
      </c>
      <c r="M12" s="317">
        <v>315000</v>
      </c>
      <c r="N12" s="315">
        <v>0.31</v>
      </c>
      <c r="O12" s="378">
        <v>315000</v>
      </c>
      <c r="P12" s="374">
        <v>0.31</v>
      </c>
      <c r="Q12" s="378">
        <v>315000</v>
      </c>
      <c r="R12" s="374">
        <v>0.31</v>
      </c>
      <c r="S12" s="378">
        <v>315000</v>
      </c>
      <c r="T12" s="374">
        <v>0.31</v>
      </c>
      <c r="U12" s="378">
        <v>315000</v>
      </c>
      <c r="V12" s="374">
        <v>0.31</v>
      </c>
      <c r="W12" s="378">
        <v>315000</v>
      </c>
      <c r="X12" s="374">
        <v>0.31</v>
      </c>
      <c r="Y12" s="378">
        <v>315000</v>
      </c>
      <c r="Z12" s="374">
        <v>0.31</v>
      </c>
      <c r="AA12" s="378">
        <v>315000</v>
      </c>
      <c r="AB12" s="374">
        <v>0.31</v>
      </c>
      <c r="AC12" s="378">
        <v>315000</v>
      </c>
      <c r="AD12" s="374">
        <v>0.31</v>
      </c>
      <c r="AE12" s="378">
        <v>315000</v>
      </c>
      <c r="AF12" s="374">
        <v>0.31</v>
      </c>
      <c r="AG12" s="378">
        <v>315000</v>
      </c>
      <c r="AH12" s="374">
        <v>0.31</v>
      </c>
      <c r="AI12" s="378">
        <v>315000</v>
      </c>
      <c r="AJ12" s="374">
        <v>0.31</v>
      </c>
      <c r="AK12" s="378">
        <v>315000</v>
      </c>
      <c r="AL12" s="374">
        <v>0.31</v>
      </c>
      <c r="AM12" s="378">
        <v>315000</v>
      </c>
      <c r="AN12" s="374">
        <v>0.31</v>
      </c>
      <c r="AO12" s="224">
        <v>315000</v>
      </c>
      <c r="AP12" s="200">
        <v>0.31</v>
      </c>
      <c r="AQ12" s="224">
        <v>315000</v>
      </c>
      <c r="AR12" s="200">
        <v>0.31</v>
      </c>
      <c r="AS12" s="224">
        <v>315000</v>
      </c>
      <c r="AT12" s="200">
        <v>0.31</v>
      </c>
      <c r="AU12" s="224">
        <v>315000</v>
      </c>
      <c r="AV12" s="200">
        <v>0.31</v>
      </c>
    </row>
    <row r="13" spans="1:48" ht="31.5">
      <c r="A13" s="64" t="s">
        <v>28</v>
      </c>
      <c r="B13" s="65" t="s">
        <v>29</v>
      </c>
      <c r="C13" s="317">
        <v>4070682.21</v>
      </c>
      <c r="D13" s="315">
        <v>3.98</v>
      </c>
      <c r="E13" s="317">
        <v>4073459.2</v>
      </c>
      <c r="F13" s="315">
        <v>4</v>
      </c>
      <c r="G13" s="317">
        <v>4076236.19</v>
      </c>
      <c r="H13" s="315">
        <v>4.01</v>
      </c>
      <c r="I13" s="317">
        <v>4084567.16</v>
      </c>
      <c r="J13" s="315">
        <v>4</v>
      </c>
      <c r="K13" s="317">
        <v>4087344.15</v>
      </c>
      <c r="L13" s="315">
        <v>4.01</v>
      </c>
      <c r="M13" s="317">
        <v>4090121.14</v>
      </c>
      <c r="N13" s="315">
        <v>4.01</v>
      </c>
      <c r="O13" s="378">
        <v>4092898.13</v>
      </c>
      <c r="P13" s="374">
        <v>4.01</v>
      </c>
      <c r="Q13" s="378">
        <v>4095675.12</v>
      </c>
      <c r="R13" s="374">
        <v>4.01</v>
      </c>
      <c r="S13" s="378">
        <v>4104006.09</v>
      </c>
      <c r="T13" s="374">
        <v>4.05</v>
      </c>
      <c r="U13" s="378">
        <v>4106783.08</v>
      </c>
      <c r="V13" s="374">
        <v>4.04</v>
      </c>
      <c r="W13" s="378">
        <v>4109560.07</v>
      </c>
      <c r="X13" s="374">
        <v>4.05</v>
      </c>
      <c r="Y13" s="378">
        <v>4112337.06</v>
      </c>
      <c r="Z13" s="374">
        <v>4.0599999999999996</v>
      </c>
      <c r="AA13" s="378">
        <v>4115114.05</v>
      </c>
      <c r="AB13" s="374">
        <v>4.05</v>
      </c>
      <c r="AC13" s="378">
        <v>4123445.02</v>
      </c>
      <c r="AD13" s="374">
        <v>4.05</v>
      </c>
      <c r="AE13" s="378">
        <v>4126222.01</v>
      </c>
      <c r="AF13" s="374">
        <v>4.0599999999999996</v>
      </c>
      <c r="AG13" s="378">
        <v>4128999</v>
      </c>
      <c r="AH13" s="374">
        <v>4.0599999999999996</v>
      </c>
      <c r="AI13" s="378">
        <v>4131755.72</v>
      </c>
      <c r="AJ13" s="374">
        <v>4.07</v>
      </c>
      <c r="AK13" s="378">
        <v>4056776.99</v>
      </c>
      <c r="AL13" s="374">
        <v>3.99</v>
      </c>
      <c r="AM13" s="378">
        <v>4065107.96</v>
      </c>
      <c r="AN13" s="374">
        <v>3.99</v>
      </c>
      <c r="AO13" s="224">
        <v>4067884.95</v>
      </c>
      <c r="AP13" s="200">
        <v>4</v>
      </c>
      <c r="AQ13" s="224">
        <v>4070661.94</v>
      </c>
      <c r="AR13" s="200">
        <v>3.99</v>
      </c>
      <c r="AS13" s="224">
        <v>4073438.93</v>
      </c>
      <c r="AT13" s="200">
        <v>4</v>
      </c>
      <c r="AU13" s="224">
        <v>4076215.92</v>
      </c>
      <c r="AV13" s="200">
        <v>4</v>
      </c>
    </row>
    <row r="14" spans="1:48">
      <c r="A14" s="64" t="s">
        <v>34</v>
      </c>
      <c r="B14" s="65" t="s">
        <v>35</v>
      </c>
      <c r="C14" s="317">
        <v>4290950.12</v>
      </c>
      <c r="D14" s="315">
        <v>4.2</v>
      </c>
      <c r="E14" s="317">
        <v>4293758.21</v>
      </c>
      <c r="F14" s="315">
        <v>4.22</v>
      </c>
      <c r="G14" s="317">
        <v>4296566.3</v>
      </c>
      <c r="H14" s="315">
        <v>4.22</v>
      </c>
      <c r="I14" s="317">
        <v>4304990.57</v>
      </c>
      <c r="J14" s="315">
        <v>4.22</v>
      </c>
      <c r="K14" s="317">
        <v>4307798.66</v>
      </c>
      <c r="L14" s="315">
        <v>4.2300000000000004</v>
      </c>
      <c r="M14" s="317">
        <v>4310606.75</v>
      </c>
      <c r="N14" s="315">
        <v>4.22</v>
      </c>
      <c r="O14" s="378">
        <v>4313414.84</v>
      </c>
      <c r="P14" s="374">
        <v>4.2300000000000004</v>
      </c>
      <c r="Q14" s="378">
        <v>4316222.93</v>
      </c>
      <c r="R14" s="374">
        <v>4.22</v>
      </c>
      <c r="S14" s="378">
        <v>3459717.76</v>
      </c>
      <c r="T14" s="374">
        <v>3.41</v>
      </c>
      <c r="U14" s="378">
        <v>3461964.23</v>
      </c>
      <c r="V14" s="374">
        <v>3.41</v>
      </c>
      <c r="W14" s="378">
        <v>3464210.7</v>
      </c>
      <c r="X14" s="374">
        <v>3.42</v>
      </c>
      <c r="Y14" s="378">
        <v>3466457.18</v>
      </c>
      <c r="Z14" s="374">
        <v>3.42</v>
      </c>
      <c r="AA14" s="378">
        <v>3468703.65</v>
      </c>
      <c r="AB14" s="374">
        <v>3.41</v>
      </c>
      <c r="AC14" s="378">
        <v>3475443.07</v>
      </c>
      <c r="AD14" s="374">
        <v>3.42</v>
      </c>
      <c r="AE14" s="378">
        <v>3477689.54</v>
      </c>
      <c r="AF14" s="374">
        <v>3.4299999999999997</v>
      </c>
      <c r="AG14" s="378">
        <v>3479936.01</v>
      </c>
      <c r="AH14" s="374">
        <v>3.43</v>
      </c>
      <c r="AI14" s="378">
        <v>3482179.2</v>
      </c>
      <c r="AJ14" s="374">
        <v>3.43</v>
      </c>
      <c r="AK14" s="378">
        <v>3282246.47</v>
      </c>
      <c r="AL14" s="374">
        <v>3.23</v>
      </c>
      <c r="AM14" s="378">
        <v>3288985.89</v>
      </c>
      <c r="AN14" s="374">
        <v>3.23</v>
      </c>
      <c r="AO14" s="395">
        <v>3291232.36</v>
      </c>
      <c r="AP14" s="200">
        <v>3.24</v>
      </c>
      <c r="AQ14" s="395">
        <v>3293478.83</v>
      </c>
      <c r="AR14" s="200">
        <v>3.23</v>
      </c>
      <c r="AS14" s="395">
        <v>3295725.3</v>
      </c>
      <c r="AT14" s="200">
        <v>3.23</v>
      </c>
      <c r="AU14" s="395">
        <v>3297971.78</v>
      </c>
      <c r="AV14" s="200">
        <v>3.2300000000000004</v>
      </c>
    </row>
    <row r="15" spans="1:48" ht="16.5" thickBot="1">
      <c r="A15" s="64" t="s">
        <v>38</v>
      </c>
      <c r="B15" s="65" t="s">
        <v>39</v>
      </c>
      <c r="C15" s="317">
        <v>4060280</v>
      </c>
      <c r="D15" s="315">
        <v>3.97</v>
      </c>
      <c r="E15" s="317">
        <v>4061485.6</v>
      </c>
      <c r="F15" s="315">
        <v>3.99</v>
      </c>
      <c r="G15" s="317">
        <v>4062691.2</v>
      </c>
      <c r="H15" s="315">
        <v>3.99</v>
      </c>
      <c r="I15" s="317">
        <v>4066308</v>
      </c>
      <c r="J15" s="315">
        <v>3.98</v>
      </c>
      <c r="K15" s="317">
        <v>4067513.6</v>
      </c>
      <c r="L15" s="315">
        <v>3.99</v>
      </c>
      <c r="M15" s="317">
        <v>4068719.2</v>
      </c>
      <c r="N15" s="315">
        <v>3.98</v>
      </c>
      <c r="O15" s="378">
        <v>4069924.8</v>
      </c>
      <c r="P15" s="374">
        <v>3.99</v>
      </c>
      <c r="Q15" s="378">
        <v>4071130.4</v>
      </c>
      <c r="R15" s="374">
        <v>3.98</v>
      </c>
      <c r="S15" s="378">
        <v>4074747.2</v>
      </c>
      <c r="T15" s="374">
        <v>4.0199999999999996</v>
      </c>
      <c r="U15" s="378">
        <v>4075952.8</v>
      </c>
      <c r="V15" s="374">
        <v>4.01</v>
      </c>
      <c r="W15" s="378">
        <v>4077158.3999999999</v>
      </c>
      <c r="X15" s="374">
        <v>4.0199999999999996</v>
      </c>
      <c r="Y15" s="378">
        <v>4078364</v>
      </c>
      <c r="Z15" s="374">
        <v>4.0199999999999996</v>
      </c>
      <c r="AA15" s="378">
        <v>4079569.6</v>
      </c>
      <c r="AB15" s="374">
        <v>4.0199999999999996</v>
      </c>
      <c r="AC15" s="378">
        <v>4083186.4</v>
      </c>
      <c r="AD15" s="374">
        <v>4.01</v>
      </c>
      <c r="AE15" s="378">
        <v>4084392</v>
      </c>
      <c r="AF15" s="374">
        <v>4.0199999999999996</v>
      </c>
      <c r="AG15" s="378">
        <v>4085597.6</v>
      </c>
      <c r="AH15" s="374">
        <v>4.0199999999999996</v>
      </c>
      <c r="AI15" s="378">
        <v>4086803.2</v>
      </c>
      <c r="AJ15" s="374">
        <v>4.03</v>
      </c>
      <c r="AK15" s="378">
        <v>4088008.8</v>
      </c>
      <c r="AL15" s="374">
        <v>4.0199999999999996</v>
      </c>
      <c r="AM15" s="378">
        <v>4091625.6</v>
      </c>
      <c r="AN15" s="374">
        <v>4.0199999999999996</v>
      </c>
      <c r="AO15" s="224">
        <v>4092831.2</v>
      </c>
      <c r="AP15" s="200">
        <v>4.0199999999999996</v>
      </c>
      <c r="AQ15" s="224">
        <v>4094036.8</v>
      </c>
      <c r="AR15" s="200">
        <v>4.01</v>
      </c>
      <c r="AS15" s="224">
        <v>4095242.4</v>
      </c>
      <c r="AT15" s="200">
        <v>4.0199999999999996</v>
      </c>
      <c r="AU15" s="224">
        <v>4096448</v>
      </c>
      <c r="AV15" s="200">
        <v>4.0199999999999996</v>
      </c>
    </row>
    <row r="16" spans="1:48" ht="16.5" thickBot="1">
      <c r="A16" s="1022" t="s">
        <v>40</v>
      </c>
      <c r="B16" s="1023"/>
      <c r="C16" s="76">
        <f t="shared" ref="C16:H16" si="7">SUM(C10:C15)</f>
        <v>20815153.620000001</v>
      </c>
      <c r="D16" s="308">
        <f t="shared" si="7"/>
        <v>20.36</v>
      </c>
      <c r="E16" s="76">
        <f t="shared" si="7"/>
        <v>20824536.650000002</v>
      </c>
      <c r="F16" s="308">
        <f t="shared" si="7"/>
        <v>20.46</v>
      </c>
      <c r="G16" s="76">
        <f t="shared" si="7"/>
        <v>20833919.68</v>
      </c>
      <c r="H16" s="308">
        <f t="shared" si="7"/>
        <v>20.47</v>
      </c>
      <c r="I16" s="76">
        <f t="shared" ref="I16:N16" si="8">SUM(I10:I15)</f>
        <v>20862068.759999998</v>
      </c>
      <c r="J16" s="308">
        <f t="shared" si="8"/>
        <v>20.43</v>
      </c>
      <c r="K16" s="76">
        <f t="shared" si="8"/>
        <v>20871451.780000001</v>
      </c>
      <c r="L16" s="308">
        <f t="shared" si="8"/>
        <v>20.480000000000004</v>
      </c>
      <c r="M16" s="76">
        <f t="shared" si="8"/>
        <v>20880834.809999999</v>
      </c>
      <c r="N16" s="308">
        <f t="shared" si="8"/>
        <v>20.45</v>
      </c>
      <c r="O16" s="76">
        <f t="shared" ref="O16:T16" si="9">SUM(O10:O15)</f>
        <v>20890217.84</v>
      </c>
      <c r="P16" s="308">
        <f t="shared" si="9"/>
        <v>20.490000000000002</v>
      </c>
      <c r="Q16" s="76">
        <f t="shared" si="9"/>
        <v>20899600.859999999</v>
      </c>
      <c r="R16" s="308">
        <f t="shared" si="9"/>
        <v>20.45</v>
      </c>
      <c r="S16" s="76">
        <f t="shared" si="9"/>
        <v>20062820.5</v>
      </c>
      <c r="T16" s="308">
        <f t="shared" si="9"/>
        <v>19.79</v>
      </c>
      <c r="U16" s="76">
        <f t="shared" ref="U16:AD16" si="10">SUM(U10:U15)</f>
        <v>20071641.91</v>
      </c>
      <c r="V16" s="308">
        <f t="shared" si="10"/>
        <v>19.759999999999998</v>
      </c>
      <c r="W16" s="76">
        <f t="shared" si="10"/>
        <v>20080463.32</v>
      </c>
      <c r="X16" s="308">
        <f t="shared" si="10"/>
        <v>19.799999999999997</v>
      </c>
      <c r="Y16" s="76">
        <f t="shared" si="10"/>
        <v>20089284.73</v>
      </c>
      <c r="Z16" s="308">
        <f t="shared" si="10"/>
        <v>19.82</v>
      </c>
      <c r="AA16" s="76">
        <f t="shared" si="10"/>
        <v>20098106.140000001</v>
      </c>
      <c r="AB16" s="308">
        <f t="shared" si="10"/>
        <v>19.78</v>
      </c>
      <c r="AC16" s="76">
        <f t="shared" si="10"/>
        <v>19891259.18</v>
      </c>
      <c r="AD16" s="308">
        <f t="shared" si="10"/>
        <v>19.55</v>
      </c>
      <c r="AE16" s="76">
        <f t="shared" ref="AE16:AJ16" si="11">SUM(AE10:AE15)</f>
        <v>19900080.59</v>
      </c>
      <c r="AF16" s="308">
        <f t="shared" si="11"/>
        <v>19.599999999999998</v>
      </c>
      <c r="AG16" s="76">
        <f t="shared" si="11"/>
        <v>19908901.989999998</v>
      </c>
      <c r="AH16" s="308">
        <f t="shared" si="11"/>
        <v>19.599999999999998</v>
      </c>
      <c r="AI16" s="76">
        <f t="shared" si="11"/>
        <v>19917699.850000001</v>
      </c>
      <c r="AJ16" s="308">
        <f t="shared" si="11"/>
        <v>19.62</v>
      </c>
      <c r="AK16" s="76">
        <f t="shared" ref="AK16:AP16" si="12">SUM(AK10:AK15)</f>
        <v>19646586.34</v>
      </c>
      <c r="AL16" s="308">
        <f t="shared" si="12"/>
        <v>19.310000000000002</v>
      </c>
      <c r="AM16" s="76">
        <f t="shared" si="12"/>
        <v>19673050.57</v>
      </c>
      <c r="AN16" s="308">
        <f t="shared" si="12"/>
        <v>19.32</v>
      </c>
      <c r="AO16" s="76">
        <f t="shared" si="12"/>
        <v>19681871.98</v>
      </c>
      <c r="AP16" s="308">
        <f t="shared" si="12"/>
        <v>19.350000000000001</v>
      </c>
      <c r="AQ16" s="76">
        <f t="shared" ref="AQ16:AV16" si="13">SUM(AQ10:AQ15)</f>
        <v>19690693.379999999</v>
      </c>
      <c r="AR16" s="308">
        <f t="shared" si="13"/>
        <v>19.29</v>
      </c>
      <c r="AS16" s="76">
        <f t="shared" si="13"/>
        <v>19699514.789999999</v>
      </c>
      <c r="AT16" s="308">
        <f t="shared" si="13"/>
        <v>19.34</v>
      </c>
      <c r="AU16" s="76">
        <f t="shared" si="13"/>
        <v>19708336.199999999</v>
      </c>
      <c r="AV16" s="308">
        <f t="shared" si="13"/>
        <v>19.34</v>
      </c>
    </row>
    <row r="17" spans="1:48" ht="32.25" thickBot="1">
      <c r="A17" s="77" t="s">
        <v>41</v>
      </c>
      <c r="B17" s="78" t="s">
        <v>42</v>
      </c>
      <c r="C17" s="79"/>
      <c r="D17" s="307"/>
      <c r="E17" s="79"/>
      <c r="F17" s="307"/>
      <c r="G17" s="79"/>
      <c r="H17" s="307"/>
      <c r="I17" s="79"/>
      <c r="J17" s="307"/>
      <c r="K17" s="79"/>
      <c r="L17" s="307"/>
      <c r="M17" s="79"/>
      <c r="N17" s="307"/>
      <c r="O17" s="79"/>
      <c r="P17" s="307"/>
      <c r="Q17" s="79"/>
      <c r="R17" s="307"/>
      <c r="S17" s="79"/>
      <c r="T17" s="307"/>
      <c r="U17" s="79"/>
      <c r="V17" s="307"/>
      <c r="W17" s="79"/>
      <c r="X17" s="307"/>
      <c r="Y17" s="79"/>
      <c r="Z17" s="307"/>
      <c r="AA17" s="79"/>
      <c r="AB17" s="307"/>
      <c r="AC17" s="79"/>
      <c r="AD17" s="307"/>
      <c r="AE17" s="79"/>
      <c r="AF17" s="307"/>
      <c r="AG17" s="79"/>
      <c r="AH17" s="307"/>
      <c r="AI17" s="79"/>
      <c r="AJ17" s="307"/>
      <c r="AK17" s="79"/>
      <c r="AL17" s="307"/>
      <c r="AM17" s="79"/>
      <c r="AN17" s="307"/>
      <c r="AO17" s="79"/>
      <c r="AP17" s="307"/>
      <c r="AQ17" s="79"/>
      <c r="AR17" s="307"/>
      <c r="AS17" s="79"/>
      <c r="AT17" s="307"/>
      <c r="AU17" s="79"/>
      <c r="AV17" s="307"/>
    </row>
    <row r="18" spans="1:48" ht="16.5" thickBot="1">
      <c r="A18" s="1024" t="s">
        <v>43</v>
      </c>
      <c r="B18" s="1025"/>
      <c r="C18" s="81"/>
      <c r="D18" s="305"/>
      <c r="E18" s="81"/>
      <c r="F18" s="305"/>
      <c r="G18" s="81"/>
      <c r="H18" s="305"/>
      <c r="I18" s="81"/>
      <c r="J18" s="305"/>
      <c r="K18" s="81"/>
      <c r="L18" s="305"/>
      <c r="M18" s="81"/>
      <c r="N18" s="305"/>
      <c r="O18" s="81"/>
      <c r="P18" s="305"/>
      <c r="Q18" s="81"/>
      <c r="R18" s="305"/>
      <c r="S18" s="81"/>
      <c r="T18" s="305"/>
      <c r="U18" s="81"/>
      <c r="V18" s="305"/>
      <c r="W18" s="81"/>
      <c r="X18" s="305"/>
      <c r="Y18" s="81"/>
      <c r="Z18" s="305"/>
      <c r="AA18" s="81"/>
      <c r="AB18" s="305"/>
      <c r="AC18" s="81"/>
      <c r="AD18" s="305"/>
      <c r="AE18" s="81"/>
      <c r="AF18" s="305"/>
      <c r="AG18" s="81"/>
      <c r="AH18" s="305"/>
      <c r="AI18" s="81"/>
      <c r="AJ18" s="305"/>
      <c r="AK18" s="81"/>
      <c r="AL18" s="305"/>
      <c r="AM18" s="81"/>
      <c r="AN18" s="305"/>
      <c r="AO18" s="81"/>
      <c r="AP18" s="305"/>
      <c r="AQ18" s="81"/>
      <c r="AR18" s="305"/>
      <c r="AS18" s="81"/>
      <c r="AT18" s="305"/>
      <c r="AU18" s="81"/>
      <c r="AV18" s="305"/>
    </row>
    <row r="19" spans="1:48">
      <c r="A19" s="83">
        <v>101</v>
      </c>
      <c r="B19" s="84"/>
      <c r="C19" s="85">
        <v>550495</v>
      </c>
      <c r="D19" s="310">
        <v>0.54</v>
      </c>
      <c r="E19" s="85">
        <v>550495</v>
      </c>
      <c r="F19" s="310">
        <v>0.54</v>
      </c>
      <c r="G19" s="85">
        <v>550495</v>
      </c>
      <c r="H19" s="310">
        <v>0.54</v>
      </c>
      <c r="I19" s="85">
        <v>550495</v>
      </c>
      <c r="J19" s="310">
        <v>0.54</v>
      </c>
      <c r="K19" s="85">
        <v>550495</v>
      </c>
      <c r="L19" s="310">
        <v>0.54</v>
      </c>
      <c r="M19" s="85">
        <v>550495</v>
      </c>
      <c r="N19" s="310">
        <v>0.54</v>
      </c>
      <c r="O19" s="85">
        <v>550495</v>
      </c>
      <c r="P19" s="310">
        <v>0.54</v>
      </c>
      <c r="Q19" s="85">
        <v>550495</v>
      </c>
      <c r="R19" s="310">
        <v>0.54</v>
      </c>
      <c r="S19" s="85">
        <v>550495</v>
      </c>
      <c r="T19" s="310">
        <v>0.54</v>
      </c>
      <c r="U19" s="85">
        <v>550495</v>
      </c>
      <c r="V19" s="310">
        <v>0.54</v>
      </c>
      <c r="W19" s="85">
        <v>550495</v>
      </c>
      <c r="X19" s="310">
        <v>0.54</v>
      </c>
      <c r="Y19" s="85">
        <v>550495</v>
      </c>
      <c r="Z19" s="310">
        <v>0.54</v>
      </c>
      <c r="AA19" s="85">
        <v>550495</v>
      </c>
      <c r="AB19" s="310">
        <v>0.54</v>
      </c>
      <c r="AC19" s="85">
        <v>550495</v>
      </c>
      <c r="AD19" s="310">
        <v>0.54</v>
      </c>
      <c r="AE19" s="85">
        <v>550495</v>
      </c>
      <c r="AF19" s="310">
        <v>0.54</v>
      </c>
      <c r="AG19" s="85">
        <v>550495</v>
      </c>
      <c r="AH19" s="310">
        <v>0.54</v>
      </c>
      <c r="AI19" s="85">
        <v>550495</v>
      </c>
      <c r="AJ19" s="310">
        <v>0.54</v>
      </c>
      <c r="AK19" s="85">
        <v>550495</v>
      </c>
      <c r="AL19" s="310">
        <v>0.54</v>
      </c>
      <c r="AM19" s="85">
        <v>550495</v>
      </c>
      <c r="AN19" s="310">
        <v>0.54</v>
      </c>
      <c r="AO19" s="85">
        <v>550495</v>
      </c>
      <c r="AP19" s="310">
        <v>0.54</v>
      </c>
      <c r="AQ19" s="85">
        <v>550495</v>
      </c>
      <c r="AR19" s="310">
        <v>0.54</v>
      </c>
      <c r="AS19" s="85">
        <v>550495</v>
      </c>
      <c r="AT19" s="310">
        <v>0.54</v>
      </c>
      <c r="AU19" s="85">
        <v>550495</v>
      </c>
      <c r="AV19" s="310">
        <v>0.54</v>
      </c>
    </row>
    <row r="20" spans="1:48">
      <c r="A20" s="87">
        <v>99</v>
      </c>
      <c r="B20" s="88"/>
      <c r="C20" s="89">
        <v>1188246.17</v>
      </c>
      <c r="D20" s="310">
        <v>1.1599999999999999</v>
      </c>
      <c r="E20" s="89">
        <v>1188246.17</v>
      </c>
      <c r="F20" s="310">
        <v>1.17</v>
      </c>
      <c r="G20" s="89">
        <v>1188246.17</v>
      </c>
      <c r="H20" s="310">
        <v>1.17</v>
      </c>
      <c r="I20" s="89">
        <v>1188246.17</v>
      </c>
      <c r="J20" s="310">
        <v>1.1599999999999999</v>
      </c>
      <c r="K20" s="89">
        <v>1188246.17</v>
      </c>
      <c r="L20" s="310">
        <v>1.1599999999999999</v>
      </c>
      <c r="M20" s="89">
        <v>1188246.17</v>
      </c>
      <c r="N20" s="310">
        <v>1.1599999999999999</v>
      </c>
      <c r="O20" s="89">
        <v>1188246.17</v>
      </c>
      <c r="P20" s="310">
        <v>1.1599999999999999</v>
      </c>
      <c r="Q20" s="89">
        <v>1188246.17</v>
      </c>
      <c r="R20" s="310">
        <v>1.1599999999999999</v>
      </c>
      <c r="S20" s="89">
        <v>1188246.17</v>
      </c>
      <c r="T20" s="310">
        <v>1.17</v>
      </c>
      <c r="U20" s="89">
        <v>1188246.17</v>
      </c>
      <c r="V20" s="310">
        <v>1.17</v>
      </c>
      <c r="W20" s="89">
        <v>1188246.17</v>
      </c>
      <c r="X20" s="310">
        <v>1.17</v>
      </c>
      <c r="Y20" s="89">
        <v>1188246.17</v>
      </c>
      <c r="Z20" s="310">
        <v>1.17</v>
      </c>
      <c r="AA20" s="89">
        <v>1188246.17</v>
      </c>
      <c r="AB20" s="310">
        <v>1.17</v>
      </c>
      <c r="AC20" s="89">
        <v>1188246.17</v>
      </c>
      <c r="AD20" s="310">
        <v>1.17</v>
      </c>
      <c r="AE20" s="89">
        <v>1188246.17</v>
      </c>
      <c r="AF20" s="310">
        <v>1.17</v>
      </c>
      <c r="AG20" s="89">
        <v>1188246.17</v>
      </c>
      <c r="AH20" s="310">
        <v>1.17</v>
      </c>
      <c r="AI20" s="89">
        <v>1188246.17</v>
      </c>
      <c r="AJ20" s="310">
        <v>1.17</v>
      </c>
      <c r="AK20" s="89">
        <v>1188246.17</v>
      </c>
      <c r="AL20" s="310">
        <v>1.17</v>
      </c>
      <c r="AM20" s="89">
        <v>1188246.17</v>
      </c>
      <c r="AN20" s="310">
        <v>1.17</v>
      </c>
      <c r="AO20" s="89">
        <v>1188246.17</v>
      </c>
      <c r="AP20" s="310">
        <v>1.17</v>
      </c>
      <c r="AQ20" s="89">
        <v>1188246.17</v>
      </c>
      <c r="AR20" s="310">
        <v>1.1599999999999999</v>
      </c>
      <c r="AS20" s="89">
        <v>1188246.17</v>
      </c>
      <c r="AT20" s="310">
        <v>1.17</v>
      </c>
      <c r="AU20" s="89">
        <v>1188246.17</v>
      </c>
      <c r="AV20" s="310">
        <v>1.17</v>
      </c>
    </row>
    <row r="21" spans="1:48" ht="16.5" thickBot="1">
      <c r="A21" s="91">
        <v>109</v>
      </c>
      <c r="B21" s="92"/>
      <c r="C21" s="93">
        <v>5267242.53</v>
      </c>
      <c r="D21" s="310">
        <v>5.15</v>
      </c>
      <c r="E21" s="93">
        <v>5267242.53</v>
      </c>
      <c r="F21" s="310">
        <v>5.17</v>
      </c>
      <c r="G21" s="93">
        <v>5267242.53</v>
      </c>
      <c r="H21" s="310">
        <v>5.18</v>
      </c>
      <c r="I21" s="93">
        <v>5267242.53</v>
      </c>
      <c r="J21" s="310">
        <v>5.16</v>
      </c>
      <c r="K21" s="93">
        <v>5267242.53</v>
      </c>
      <c r="L21" s="310">
        <v>5.17</v>
      </c>
      <c r="M21" s="93">
        <v>5267242.53</v>
      </c>
      <c r="N21" s="310">
        <v>5.16</v>
      </c>
      <c r="O21" s="93">
        <v>5267242.53</v>
      </c>
      <c r="P21" s="310">
        <v>5.17</v>
      </c>
      <c r="Q21" s="93">
        <v>5267242.53</v>
      </c>
      <c r="R21" s="310">
        <v>5.16</v>
      </c>
      <c r="S21" s="93">
        <v>5267242.53</v>
      </c>
      <c r="T21" s="310">
        <v>5.2</v>
      </c>
      <c r="U21" s="93">
        <v>5267242.53</v>
      </c>
      <c r="V21" s="310">
        <v>5.2</v>
      </c>
      <c r="W21" s="93">
        <v>5267242.53</v>
      </c>
      <c r="X21" s="310">
        <v>5.2</v>
      </c>
      <c r="Y21" s="93">
        <v>5267242.53</v>
      </c>
      <c r="Z21" s="310">
        <v>5.2</v>
      </c>
      <c r="AA21" s="93">
        <v>5267242.53</v>
      </c>
      <c r="AB21" s="310">
        <v>5.1899999999999995</v>
      </c>
      <c r="AC21" s="93">
        <v>5267242.53</v>
      </c>
      <c r="AD21" s="310">
        <v>5.18</v>
      </c>
      <c r="AE21" s="93">
        <v>5267242.53</v>
      </c>
      <c r="AF21" s="310">
        <v>5.19</v>
      </c>
      <c r="AG21" s="93">
        <v>5267242.53</v>
      </c>
      <c r="AH21" s="310">
        <v>5.19</v>
      </c>
      <c r="AI21" s="93">
        <v>5267242.53</v>
      </c>
      <c r="AJ21" s="310">
        <v>5.19</v>
      </c>
      <c r="AK21" s="93">
        <v>5267242.53</v>
      </c>
      <c r="AL21" s="310">
        <v>5.17</v>
      </c>
      <c r="AM21" s="93">
        <v>5267242.53</v>
      </c>
      <c r="AN21" s="310">
        <v>5.17</v>
      </c>
      <c r="AO21" s="93">
        <v>5267242.53</v>
      </c>
      <c r="AP21" s="310">
        <v>5.18</v>
      </c>
      <c r="AQ21" s="93">
        <v>5267242.53</v>
      </c>
      <c r="AR21" s="310">
        <v>5.16</v>
      </c>
      <c r="AS21" s="93">
        <v>5267242.53</v>
      </c>
      <c r="AT21" s="310">
        <v>5.17</v>
      </c>
      <c r="AU21" s="93">
        <v>5267242.53</v>
      </c>
      <c r="AV21" s="310">
        <v>5.17</v>
      </c>
    </row>
    <row r="22" spans="1:48" ht="16.5" thickBot="1">
      <c r="A22" s="1026" t="s">
        <v>44</v>
      </c>
      <c r="B22" s="1027"/>
      <c r="C22" s="81">
        <f t="shared" ref="C22:H22" si="14">SUM(C19:C21)</f>
        <v>7005983.7000000002</v>
      </c>
      <c r="D22" s="305">
        <f t="shared" si="14"/>
        <v>6.8500000000000005</v>
      </c>
      <c r="E22" s="81">
        <f t="shared" si="14"/>
        <v>7005983.7000000002</v>
      </c>
      <c r="F22" s="305">
        <f t="shared" si="14"/>
        <v>6.88</v>
      </c>
      <c r="G22" s="81">
        <f t="shared" si="14"/>
        <v>7005983.7000000002</v>
      </c>
      <c r="H22" s="305">
        <f t="shared" si="14"/>
        <v>6.89</v>
      </c>
      <c r="I22" s="81">
        <f t="shared" ref="I22:N22" si="15">SUM(I19:I21)</f>
        <v>7005983.7000000002</v>
      </c>
      <c r="J22" s="305">
        <f t="shared" si="15"/>
        <v>6.86</v>
      </c>
      <c r="K22" s="81">
        <f t="shared" si="15"/>
        <v>7005983.7000000002</v>
      </c>
      <c r="L22" s="305">
        <f t="shared" si="15"/>
        <v>6.87</v>
      </c>
      <c r="M22" s="81">
        <f t="shared" si="15"/>
        <v>7005983.7000000002</v>
      </c>
      <c r="N22" s="305">
        <f t="shared" si="15"/>
        <v>6.86</v>
      </c>
      <c r="O22" s="81">
        <f t="shared" ref="O22:T22" si="16">SUM(O19:O21)</f>
        <v>7005983.7000000002</v>
      </c>
      <c r="P22" s="305">
        <f t="shared" si="16"/>
        <v>6.87</v>
      </c>
      <c r="Q22" s="81">
        <f t="shared" si="16"/>
        <v>7005983.7000000002</v>
      </c>
      <c r="R22" s="305">
        <f t="shared" si="16"/>
        <v>6.86</v>
      </c>
      <c r="S22" s="81">
        <f t="shared" si="16"/>
        <v>7005983.7000000002</v>
      </c>
      <c r="T22" s="305">
        <f t="shared" si="16"/>
        <v>6.91</v>
      </c>
      <c r="U22" s="81">
        <f t="shared" ref="U22:AD22" si="17">SUM(U19:U21)</f>
        <v>7005983.7000000002</v>
      </c>
      <c r="V22" s="305">
        <f t="shared" si="17"/>
        <v>6.91</v>
      </c>
      <c r="W22" s="81">
        <f t="shared" si="17"/>
        <v>7005983.7000000002</v>
      </c>
      <c r="X22" s="305">
        <f t="shared" si="17"/>
        <v>6.91</v>
      </c>
      <c r="Y22" s="81">
        <f t="shared" si="17"/>
        <v>7005983.7000000002</v>
      </c>
      <c r="Z22" s="305">
        <f t="shared" si="17"/>
        <v>6.91</v>
      </c>
      <c r="AA22" s="81">
        <f t="shared" si="17"/>
        <v>7005983.7000000002</v>
      </c>
      <c r="AB22" s="305">
        <f t="shared" si="17"/>
        <v>6.8999999999999995</v>
      </c>
      <c r="AC22" s="81">
        <f t="shared" si="17"/>
        <v>7005983.7000000002</v>
      </c>
      <c r="AD22" s="305">
        <f t="shared" si="17"/>
        <v>6.89</v>
      </c>
      <c r="AE22" s="81">
        <f t="shared" ref="AE22:AJ22" si="18">SUM(AE19:AE21)</f>
        <v>7005983.7000000002</v>
      </c>
      <c r="AF22" s="305">
        <f t="shared" si="18"/>
        <v>6.9</v>
      </c>
      <c r="AG22" s="81">
        <f t="shared" si="18"/>
        <v>7005983.7000000002</v>
      </c>
      <c r="AH22" s="305">
        <f t="shared" si="18"/>
        <v>6.9</v>
      </c>
      <c r="AI22" s="81">
        <f t="shared" si="18"/>
        <v>7005983.7000000002</v>
      </c>
      <c r="AJ22" s="305">
        <f t="shared" si="18"/>
        <v>6.9</v>
      </c>
      <c r="AK22" s="81">
        <f t="shared" ref="AK22:AP22" si="19">SUM(AK19:AK21)</f>
        <v>7005983.7000000002</v>
      </c>
      <c r="AL22" s="305">
        <f t="shared" si="19"/>
        <v>6.88</v>
      </c>
      <c r="AM22" s="81">
        <f t="shared" si="19"/>
        <v>7005983.7000000002</v>
      </c>
      <c r="AN22" s="305">
        <f t="shared" si="19"/>
        <v>6.88</v>
      </c>
      <c r="AO22" s="81">
        <f t="shared" si="19"/>
        <v>7005983.7000000002</v>
      </c>
      <c r="AP22" s="305">
        <f t="shared" si="19"/>
        <v>6.89</v>
      </c>
      <c r="AQ22" s="81">
        <f t="shared" ref="AQ22:AV22" si="20">SUM(AQ19:AQ21)</f>
        <v>7005983.7000000002</v>
      </c>
      <c r="AR22" s="305">
        <f t="shared" si="20"/>
        <v>6.86</v>
      </c>
      <c r="AS22" s="81">
        <f t="shared" si="20"/>
        <v>7005983.7000000002</v>
      </c>
      <c r="AT22" s="305">
        <f t="shared" si="20"/>
        <v>6.88</v>
      </c>
      <c r="AU22" s="81">
        <f t="shared" si="20"/>
        <v>7005983.7000000002</v>
      </c>
      <c r="AV22" s="305">
        <f t="shared" si="20"/>
        <v>6.88</v>
      </c>
    </row>
    <row r="23" spans="1:48">
      <c r="A23" s="96" t="s">
        <v>45</v>
      </c>
      <c r="B23" s="84" t="s">
        <v>46</v>
      </c>
      <c r="C23" s="47">
        <v>9101288.8499999996</v>
      </c>
      <c r="D23" s="319">
        <v>8.9</v>
      </c>
      <c r="E23" s="47">
        <v>806.45</v>
      </c>
      <c r="F23" s="319">
        <v>0</v>
      </c>
      <c r="G23" s="47">
        <v>806.45</v>
      </c>
      <c r="H23" s="319">
        <v>0</v>
      </c>
      <c r="I23" s="47">
        <v>65902.34</v>
      </c>
      <c r="J23" s="319">
        <v>0.06</v>
      </c>
      <c r="K23" s="47">
        <v>138324.42000000001</v>
      </c>
      <c r="L23" s="319">
        <v>0.14000000000000001</v>
      </c>
      <c r="M23" s="47">
        <v>138324.42000000001</v>
      </c>
      <c r="N23" s="319">
        <v>0.14000000000000001</v>
      </c>
      <c r="O23" s="47">
        <v>138324.42000000001</v>
      </c>
      <c r="P23" s="319">
        <v>0.14000000000000001</v>
      </c>
      <c r="Q23" s="47">
        <v>138324.42000000001</v>
      </c>
      <c r="R23" s="319">
        <v>0.14000000000000001</v>
      </c>
      <c r="S23" s="47">
        <v>146941.73000000001</v>
      </c>
      <c r="T23" s="319">
        <v>0.14000000000000001</v>
      </c>
      <c r="U23" s="47">
        <v>146941.73000000001</v>
      </c>
      <c r="V23" s="319">
        <v>0.14000000000000001</v>
      </c>
      <c r="W23" s="47">
        <v>146941.73000000001</v>
      </c>
      <c r="X23" s="319">
        <v>0.14000000000000001</v>
      </c>
      <c r="Y23" s="384">
        <v>941.73</v>
      </c>
      <c r="Z23" s="319">
        <v>0</v>
      </c>
      <c r="AA23" s="384">
        <v>941.73</v>
      </c>
      <c r="AB23" s="319">
        <v>0</v>
      </c>
      <c r="AC23" s="384">
        <v>941.73</v>
      </c>
      <c r="AD23" s="319">
        <v>0</v>
      </c>
      <c r="AE23" s="384">
        <v>941.73</v>
      </c>
      <c r="AF23" s="319">
        <v>0</v>
      </c>
      <c r="AG23" s="384">
        <v>941.73</v>
      </c>
      <c r="AH23" s="319">
        <v>0</v>
      </c>
      <c r="AI23" s="384">
        <v>234249.13</v>
      </c>
      <c r="AJ23" s="319">
        <v>0.23</v>
      </c>
      <c r="AK23" s="384">
        <v>234249.13</v>
      </c>
      <c r="AL23" s="319">
        <v>0.23</v>
      </c>
      <c r="AM23" s="384">
        <v>234249.13</v>
      </c>
      <c r="AN23" s="319">
        <v>0.23</v>
      </c>
      <c r="AO23" s="384">
        <v>234249.13</v>
      </c>
      <c r="AP23" s="319">
        <v>0.23</v>
      </c>
      <c r="AQ23" s="384">
        <v>282249.13</v>
      </c>
      <c r="AR23" s="384">
        <v>0.28000000000000003</v>
      </c>
      <c r="AS23" s="384">
        <v>249.13</v>
      </c>
      <c r="AT23" s="384">
        <v>0</v>
      </c>
      <c r="AU23" s="384">
        <v>249.13</v>
      </c>
      <c r="AV23" s="384">
        <v>0</v>
      </c>
    </row>
    <row r="24" spans="1:48">
      <c r="A24" s="99" t="s">
        <v>45</v>
      </c>
      <c r="B24" s="88" t="s">
        <v>46</v>
      </c>
      <c r="C24" s="47">
        <v>7620.05</v>
      </c>
      <c r="D24" s="320">
        <v>0.01</v>
      </c>
      <c r="E24" s="47">
        <v>2704.27</v>
      </c>
      <c r="F24" s="320">
        <v>0</v>
      </c>
      <c r="G24" s="47">
        <v>2204.27</v>
      </c>
      <c r="H24" s="320">
        <v>0</v>
      </c>
      <c r="I24" s="47">
        <v>727.61</v>
      </c>
      <c r="J24" s="320">
        <v>0</v>
      </c>
      <c r="K24" s="47">
        <v>17706.61</v>
      </c>
      <c r="L24" s="320">
        <v>0.02</v>
      </c>
      <c r="M24" s="47">
        <v>17706.61</v>
      </c>
      <c r="N24" s="320">
        <v>0.02</v>
      </c>
      <c r="O24" s="47">
        <v>17706.61</v>
      </c>
      <c r="P24" s="320">
        <v>0.02</v>
      </c>
      <c r="Q24" s="47">
        <v>17706.61</v>
      </c>
      <c r="R24" s="320">
        <v>0.02</v>
      </c>
      <c r="S24" s="47">
        <v>26236.61</v>
      </c>
      <c r="T24" s="320">
        <v>0.03</v>
      </c>
      <c r="U24" s="384">
        <v>5642.08</v>
      </c>
      <c r="V24" s="320">
        <v>0.01</v>
      </c>
      <c r="W24" s="384">
        <v>5642.08</v>
      </c>
      <c r="X24" s="320">
        <v>0.01</v>
      </c>
      <c r="Y24" s="384">
        <v>3312.7</v>
      </c>
      <c r="Z24" s="320">
        <v>0</v>
      </c>
      <c r="AA24" s="384">
        <v>3312.7</v>
      </c>
      <c r="AB24" s="320">
        <v>0</v>
      </c>
      <c r="AC24" s="384">
        <v>4581.7</v>
      </c>
      <c r="AD24" s="320">
        <v>0</v>
      </c>
      <c r="AE24" s="384">
        <v>932.88</v>
      </c>
      <c r="AF24" s="320">
        <v>0</v>
      </c>
      <c r="AG24" s="384">
        <v>4902.78</v>
      </c>
      <c r="AH24" s="320">
        <v>0</v>
      </c>
      <c r="AI24" s="384">
        <v>4902.78</v>
      </c>
      <c r="AJ24" s="320">
        <v>0.01</v>
      </c>
      <c r="AK24" s="384">
        <v>4902.78</v>
      </c>
      <c r="AL24" s="320">
        <v>0</v>
      </c>
      <c r="AM24" s="384">
        <v>4902.78</v>
      </c>
      <c r="AN24" s="320">
        <v>0</v>
      </c>
      <c r="AO24" s="384">
        <v>4902.78</v>
      </c>
      <c r="AP24" s="320">
        <v>0.01</v>
      </c>
      <c r="AQ24" s="384">
        <v>611.80999999999995</v>
      </c>
      <c r="AR24" s="384">
        <v>0</v>
      </c>
      <c r="AS24" s="384">
        <v>506611.81</v>
      </c>
      <c r="AT24" s="384">
        <v>0.5</v>
      </c>
      <c r="AU24" s="384">
        <v>489695.57</v>
      </c>
      <c r="AV24" s="384">
        <v>0.48</v>
      </c>
    </row>
    <row r="25" spans="1:48">
      <c r="A25" s="101"/>
      <c r="B25" s="92"/>
      <c r="C25" s="48">
        <v>4500000</v>
      </c>
      <c r="D25" s="321">
        <v>4.41</v>
      </c>
      <c r="E25" s="48">
        <v>4500000</v>
      </c>
      <c r="F25" s="321">
        <v>4.42</v>
      </c>
      <c r="G25" s="48">
        <v>4500000</v>
      </c>
      <c r="H25" s="321">
        <v>4.43</v>
      </c>
      <c r="I25" s="48">
        <v>4500000</v>
      </c>
      <c r="J25" s="321">
        <v>4.41</v>
      </c>
      <c r="K25" s="48">
        <v>4500000</v>
      </c>
      <c r="L25" s="321">
        <v>4.42</v>
      </c>
      <c r="M25" s="48">
        <v>4500000</v>
      </c>
      <c r="N25" s="321">
        <v>4.41</v>
      </c>
      <c r="O25" s="48">
        <v>4500000</v>
      </c>
      <c r="P25" s="321">
        <v>4.41</v>
      </c>
      <c r="Q25" s="48">
        <v>4500000</v>
      </c>
      <c r="R25" s="321">
        <v>4.4000000000000004</v>
      </c>
      <c r="S25" s="48">
        <v>4500000</v>
      </c>
      <c r="T25" s="321">
        <v>4.4400000000000004</v>
      </c>
      <c r="U25" s="48">
        <v>4500000</v>
      </c>
      <c r="V25" s="321">
        <v>4.43</v>
      </c>
      <c r="W25" s="48">
        <v>4500000</v>
      </c>
      <c r="X25" s="321">
        <v>4.4400000000000004</v>
      </c>
      <c r="Y25" s="48">
        <v>4500000</v>
      </c>
      <c r="Z25" s="321">
        <v>4.4400000000000004</v>
      </c>
      <c r="AA25" s="48">
        <v>4500000</v>
      </c>
      <c r="AB25" s="321">
        <v>4.43</v>
      </c>
      <c r="AC25" s="48">
        <v>4500000</v>
      </c>
      <c r="AD25" s="321">
        <v>4.42</v>
      </c>
      <c r="AE25" s="48">
        <v>4500000</v>
      </c>
      <c r="AF25" s="321">
        <v>4.43</v>
      </c>
      <c r="AG25" s="48">
        <v>4500000</v>
      </c>
      <c r="AH25" s="321">
        <v>4.43</v>
      </c>
      <c r="AI25" s="48">
        <v>4500000</v>
      </c>
      <c r="AJ25" s="321">
        <v>4.43</v>
      </c>
      <c r="AK25" s="48">
        <v>4500000</v>
      </c>
      <c r="AL25" s="321">
        <v>4.42</v>
      </c>
      <c r="AM25" s="48">
        <v>4500000</v>
      </c>
      <c r="AN25" s="321">
        <v>4.42</v>
      </c>
      <c r="AO25" s="48">
        <v>4500000</v>
      </c>
      <c r="AP25" s="321">
        <v>4.42</v>
      </c>
      <c r="AQ25" s="48">
        <v>4500000</v>
      </c>
      <c r="AR25" s="321">
        <v>4.41</v>
      </c>
      <c r="AS25" s="48">
        <v>4500000</v>
      </c>
      <c r="AT25" s="321">
        <v>4.42</v>
      </c>
      <c r="AU25" s="48">
        <v>4500000</v>
      </c>
      <c r="AV25" s="321">
        <v>4.42</v>
      </c>
    </row>
    <row r="26" spans="1:48">
      <c r="A26" s="101"/>
      <c r="B26" s="92"/>
      <c r="C26" s="48">
        <v>8000000</v>
      </c>
      <c r="D26" s="321">
        <v>7.82</v>
      </c>
      <c r="E26" s="48">
        <v>8000000</v>
      </c>
      <c r="F26" s="321">
        <v>7.86</v>
      </c>
      <c r="G26" s="48">
        <v>8000000</v>
      </c>
      <c r="H26" s="321">
        <v>7.86</v>
      </c>
      <c r="I26" s="48">
        <v>8000000</v>
      </c>
      <c r="J26" s="321">
        <v>7.84</v>
      </c>
      <c r="K26" s="48">
        <v>8000000</v>
      </c>
      <c r="L26" s="321">
        <v>7.85</v>
      </c>
      <c r="M26" s="48">
        <v>8000000</v>
      </c>
      <c r="N26" s="321">
        <v>7.83</v>
      </c>
      <c r="O26" s="48">
        <v>8000000</v>
      </c>
      <c r="P26" s="321">
        <v>7.85</v>
      </c>
      <c r="Q26" s="48">
        <v>8000000</v>
      </c>
      <c r="R26" s="321">
        <v>7.83</v>
      </c>
      <c r="S26" s="48">
        <v>8000000</v>
      </c>
      <c r="T26" s="321">
        <v>7.89</v>
      </c>
      <c r="U26" s="48">
        <v>8000000</v>
      </c>
      <c r="V26" s="321">
        <v>7.88</v>
      </c>
      <c r="W26" s="48">
        <v>8000000</v>
      </c>
      <c r="X26" s="321">
        <v>7.89</v>
      </c>
      <c r="Y26" s="48">
        <v>8000000</v>
      </c>
      <c r="Z26" s="321">
        <v>7.89</v>
      </c>
      <c r="AA26" s="48">
        <v>8000000</v>
      </c>
      <c r="AB26" s="321">
        <v>7.87</v>
      </c>
      <c r="AC26" s="48">
        <v>8000000</v>
      </c>
      <c r="AD26" s="321">
        <v>7.86</v>
      </c>
      <c r="AE26" s="48">
        <v>8000000</v>
      </c>
      <c r="AF26" s="321">
        <v>7.88</v>
      </c>
      <c r="AG26" s="48">
        <v>8000000</v>
      </c>
      <c r="AH26" s="321">
        <v>7.88</v>
      </c>
      <c r="AI26" s="48">
        <v>8000000</v>
      </c>
      <c r="AJ26" s="321">
        <v>7.88</v>
      </c>
      <c r="AK26" s="48">
        <v>8000000</v>
      </c>
      <c r="AL26" s="321">
        <v>7.86</v>
      </c>
      <c r="AM26" s="48">
        <v>8000000</v>
      </c>
      <c r="AN26" s="321">
        <v>7.85</v>
      </c>
      <c r="AO26" s="48">
        <v>8000000</v>
      </c>
      <c r="AP26" s="321">
        <v>7.86</v>
      </c>
      <c r="AQ26" s="48">
        <v>8000000</v>
      </c>
      <c r="AR26" s="321">
        <v>7.84</v>
      </c>
      <c r="AS26" s="48">
        <v>8000000</v>
      </c>
      <c r="AT26" s="321">
        <v>7.85</v>
      </c>
      <c r="AU26" s="48">
        <v>8000000</v>
      </c>
      <c r="AV26" s="321">
        <v>7.85</v>
      </c>
    </row>
    <row r="27" spans="1:48" s="107" customFormat="1">
      <c r="A27" s="103"/>
      <c r="B27" s="104"/>
      <c r="C27" s="48">
        <v>3500000</v>
      </c>
      <c r="D27" s="321">
        <v>3.42</v>
      </c>
      <c r="E27" s="48">
        <v>3500000</v>
      </c>
      <c r="F27" s="321">
        <v>3.44</v>
      </c>
      <c r="G27" s="48">
        <v>3500000</v>
      </c>
      <c r="H27" s="321">
        <v>3.44</v>
      </c>
      <c r="I27" s="48">
        <v>3500000</v>
      </c>
      <c r="J27" s="321">
        <v>3.43</v>
      </c>
      <c r="K27" s="48">
        <v>3500000</v>
      </c>
      <c r="L27" s="321">
        <v>3.43</v>
      </c>
      <c r="M27" s="48">
        <v>3500000</v>
      </c>
      <c r="N27" s="321">
        <v>3.43</v>
      </c>
      <c r="O27" s="48">
        <v>3500000</v>
      </c>
      <c r="P27" s="321">
        <v>3.43</v>
      </c>
      <c r="Q27" s="48">
        <v>3500000</v>
      </c>
      <c r="R27" s="321">
        <v>3.43</v>
      </c>
      <c r="S27" s="48">
        <v>3500000</v>
      </c>
      <c r="T27" s="321">
        <v>3.45</v>
      </c>
      <c r="U27" s="48">
        <v>3500000</v>
      </c>
      <c r="V27" s="321">
        <v>3.45</v>
      </c>
      <c r="W27" s="48">
        <v>3500000</v>
      </c>
      <c r="X27" s="321">
        <v>3.45</v>
      </c>
      <c r="Y27" s="48">
        <v>3500000</v>
      </c>
      <c r="Z27" s="321">
        <v>3.45</v>
      </c>
      <c r="AA27" s="48">
        <v>3500000</v>
      </c>
      <c r="AB27" s="321">
        <v>3.45</v>
      </c>
      <c r="AC27" s="48">
        <v>3500000</v>
      </c>
      <c r="AD27" s="321">
        <v>3.44</v>
      </c>
      <c r="AE27" s="48">
        <v>3500000</v>
      </c>
      <c r="AF27" s="321">
        <v>3.45</v>
      </c>
      <c r="AG27" s="48">
        <v>3500000</v>
      </c>
      <c r="AH27" s="321">
        <v>3.45</v>
      </c>
      <c r="AI27" s="48">
        <v>3500000</v>
      </c>
      <c r="AJ27" s="321">
        <v>3.45</v>
      </c>
      <c r="AK27" s="48">
        <v>3500000</v>
      </c>
      <c r="AL27" s="321">
        <v>3.44</v>
      </c>
      <c r="AM27" s="48">
        <v>3500000</v>
      </c>
      <c r="AN27" s="321">
        <v>3.44</v>
      </c>
      <c r="AO27" s="48">
        <v>3500000</v>
      </c>
      <c r="AP27" s="321">
        <v>3.44</v>
      </c>
      <c r="AQ27" s="48">
        <v>3500000</v>
      </c>
      <c r="AR27" s="321">
        <v>3.43</v>
      </c>
      <c r="AS27" s="48">
        <v>3500000</v>
      </c>
      <c r="AT27" s="321">
        <v>3.43</v>
      </c>
      <c r="AU27" s="48">
        <v>3500000</v>
      </c>
      <c r="AV27" s="321">
        <v>3.43</v>
      </c>
    </row>
    <row r="28" spans="1:48" s="107" customFormat="1">
      <c r="A28" s="103"/>
      <c r="B28" s="104"/>
      <c r="C28" s="48">
        <v>4500000</v>
      </c>
      <c r="D28" s="321">
        <v>4.4000000000000004</v>
      </c>
      <c r="E28" s="48">
        <v>4500000</v>
      </c>
      <c r="F28" s="321">
        <v>4.42</v>
      </c>
      <c r="G28" s="48">
        <v>4500000</v>
      </c>
      <c r="H28" s="321">
        <v>4.42</v>
      </c>
      <c r="I28" s="48">
        <v>4500000</v>
      </c>
      <c r="J28" s="321">
        <v>4.41</v>
      </c>
      <c r="K28" s="48">
        <v>4500000</v>
      </c>
      <c r="L28" s="321">
        <v>4.42</v>
      </c>
      <c r="M28" s="48">
        <v>4500000</v>
      </c>
      <c r="N28" s="321">
        <v>4.41</v>
      </c>
      <c r="O28" s="48">
        <v>4500000</v>
      </c>
      <c r="P28" s="321">
        <v>4.41</v>
      </c>
      <c r="Q28" s="48">
        <v>4500000</v>
      </c>
      <c r="R28" s="321">
        <v>4.4000000000000004</v>
      </c>
      <c r="S28" s="48">
        <v>4500000</v>
      </c>
      <c r="T28" s="321">
        <v>4.4400000000000004</v>
      </c>
      <c r="U28" s="48">
        <v>4500000</v>
      </c>
      <c r="V28" s="321">
        <v>4.43</v>
      </c>
      <c r="W28" s="48">
        <v>4500000</v>
      </c>
      <c r="X28" s="321">
        <v>4.4400000000000004</v>
      </c>
      <c r="Y28" s="48">
        <v>4500000</v>
      </c>
      <c r="Z28" s="321">
        <v>4.4400000000000004</v>
      </c>
      <c r="AA28" s="48">
        <v>4500000</v>
      </c>
      <c r="AB28" s="321">
        <v>4.43</v>
      </c>
      <c r="AC28" s="48">
        <v>4500000</v>
      </c>
      <c r="AD28" s="321">
        <v>4.42</v>
      </c>
      <c r="AE28" s="48">
        <v>4500000</v>
      </c>
      <c r="AF28" s="321">
        <v>4.43</v>
      </c>
      <c r="AG28" s="48">
        <v>4500000</v>
      </c>
      <c r="AH28" s="321">
        <v>4.43</v>
      </c>
      <c r="AI28" s="48">
        <v>4500000</v>
      </c>
      <c r="AJ28" s="321">
        <v>4.43</v>
      </c>
      <c r="AK28" s="48">
        <v>4500000</v>
      </c>
      <c r="AL28" s="321">
        <v>4.42</v>
      </c>
      <c r="AM28" s="48">
        <v>4500000</v>
      </c>
      <c r="AN28" s="321">
        <v>4.42</v>
      </c>
      <c r="AO28" s="48">
        <v>4500000</v>
      </c>
      <c r="AP28" s="321">
        <v>4.42</v>
      </c>
      <c r="AQ28" s="48">
        <v>4500000</v>
      </c>
      <c r="AR28" s="321">
        <v>4.41</v>
      </c>
      <c r="AS28" s="48">
        <v>4500000</v>
      </c>
      <c r="AT28" s="321">
        <v>4.42</v>
      </c>
      <c r="AU28" s="48">
        <v>4500000</v>
      </c>
      <c r="AV28" s="321">
        <v>4.42</v>
      </c>
    </row>
    <row r="29" spans="1:48" ht="16.5" thickBot="1">
      <c r="A29" s="101" t="s">
        <v>47</v>
      </c>
      <c r="B29" s="92" t="s">
        <v>46</v>
      </c>
      <c r="C29" s="335">
        <v>280220.79999999999</v>
      </c>
      <c r="D29" s="321">
        <v>0.27</v>
      </c>
      <c r="E29" s="335">
        <v>1320220.8</v>
      </c>
      <c r="F29" s="321">
        <v>1.3</v>
      </c>
      <c r="G29" s="335">
        <v>1320220.8</v>
      </c>
      <c r="H29" s="321">
        <v>1.3</v>
      </c>
      <c r="I29" s="335">
        <v>1320220.8</v>
      </c>
      <c r="J29" s="321">
        <v>1.29</v>
      </c>
      <c r="K29" s="335">
        <v>1320220.8</v>
      </c>
      <c r="L29" s="321">
        <v>1.29</v>
      </c>
      <c r="M29" s="335">
        <v>1320220.8</v>
      </c>
      <c r="N29" s="321">
        <v>1.28</v>
      </c>
      <c r="O29" s="335">
        <v>1320220.8</v>
      </c>
      <c r="P29" s="321">
        <v>1.29</v>
      </c>
      <c r="Q29" s="335">
        <v>1320220.8</v>
      </c>
      <c r="R29" s="321">
        <v>1.29</v>
      </c>
      <c r="S29" s="49">
        <v>1320220.8</v>
      </c>
      <c r="T29" s="321">
        <v>1.3</v>
      </c>
      <c r="U29" s="49">
        <v>1320220.8</v>
      </c>
      <c r="V29" s="321">
        <v>1.3</v>
      </c>
      <c r="W29" s="49">
        <v>1320220.8</v>
      </c>
      <c r="X29" s="321">
        <v>1.3</v>
      </c>
      <c r="Y29" s="49">
        <v>1401220.8</v>
      </c>
      <c r="Z29" s="321">
        <v>1.38</v>
      </c>
      <c r="AA29" s="49">
        <v>1401220.8</v>
      </c>
      <c r="AB29" s="321">
        <v>1.38</v>
      </c>
      <c r="AC29" s="49">
        <v>1401220.8</v>
      </c>
      <c r="AD29" s="321">
        <v>1.38</v>
      </c>
      <c r="AE29" s="49">
        <v>1380220.8</v>
      </c>
      <c r="AF29" s="321">
        <v>1.36</v>
      </c>
      <c r="AG29" s="49">
        <v>1380220.8</v>
      </c>
      <c r="AH29" s="321">
        <v>1.36</v>
      </c>
      <c r="AI29" s="49">
        <v>1380220.8</v>
      </c>
      <c r="AJ29" s="321">
        <v>1.36</v>
      </c>
      <c r="AK29" s="49">
        <v>1380220.8</v>
      </c>
      <c r="AL29" s="321">
        <v>1.36</v>
      </c>
      <c r="AM29" s="49">
        <v>1380220.8</v>
      </c>
      <c r="AN29" s="321">
        <v>1.35</v>
      </c>
      <c r="AO29" s="49">
        <v>1380220.8</v>
      </c>
      <c r="AP29" s="321">
        <v>1.36</v>
      </c>
      <c r="AQ29" s="49">
        <v>1380220.8</v>
      </c>
      <c r="AR29" s="321">
        <v>1.35</v>
      </c>
      <c r="AS29" s="49">
        <v>1150220.8</v>
      </c>
      <c r="AT29" s="321">
        <v>1.1299999999999999</v>
      </c>
      <c r="AU29" s="49">
        <v>1150231.6599999999</v>
      </c>
      <c r="AV29" s="321">
        <v>1.1299999999999999</v>
      </c>
    </row>
    <row r="30" spans="1:48" ht="16.5" thickBot="1">
      <c r="A30" s="1028" t="s">
        <v>44</v>
      </c>
      <c r="B30" s="1028"/>
      <c r="C30" s="82">
        <f t="shared" ref="C30:H30" si="21">SUM(C23:C29)</f>
        <v>29889129.699999999</v>
      </c>
      <c r="D30" s="305">
        <f t="shared" si="21"/>
        <v>29.23</v>
      </c>
      <c r="E30" s="82">
        <f t="shared" si="21"/>
        <v>21823731.52</v>
      </c>
      <c r="F30" s="305">
        <f t="shared" si="21"/>
        <v>21.44</v>
      </c>
      <c r="G30" s="82">
        <f t="shared" si="21"/>
        <v>21823231.52</v>
      </c>
      <c r="H30" s="305">
        <f t="shared" si="21"/>
        <v>21.45</v>
      </c>
      <c r="I30" s="82">
        <f t="shared" ref="I30:N30" si="22">SUM(I23:I29)</f>
        <v>21886850.75</v>
      </c>
      <c r="J30" s="305">
        <f t="shared" si="22"/>
        <v>21.439999999999998</v>
      </c>
      <c r="K30" s="82">
        <f t="shared" si="22"/>
        <v>21976251.830000002</v>
      </c>
      <c r="L30" s="305">
        <f t="shared" si="22"/>
        <v>21.57</v>
      </c>
      <c r="M30" s="82">
        <f t="shared" si="22"/>
        <v>21976251.830000002</v>
      </c>
      <c r="N30" s="305">
        <f t="shared" si="22"/>
        <v>21.520000000000003</v>
      </c>
      <c r="O30" s="82">
        <f t="shared" ref="O30:T30" si="23">SUM(O23:O29)</f>
        <v>21976251.830000002</v>
      </c>
      <c r="P30" s="305">
        <f t="shared" si="23"/>
        <v>21.549999999999997</v>
      </c>
      <c r="Q30" s="82">
        <f t="shared" si="23"/>
        <v>21976251.830000002</v>
      </c>
      <c r="R30" s="305">
        <f t="shared" si="23"/>
        <v>21.509999999999998</v>
      </c>
      <c r="S30" s="82">
        <f t="shared" si="23"/>
        <v>21993399.140000001</v>
      </c>
      <c r="T30" s="305">
        <f t="shared" si="23"/>
        <v>21.69</v>
      </c>
      <c r="U30" s="82">
        <f t="shared" ref="U30:AD30" si="24">SUM(U23:U29)</f>
        <v>21972804.609999999</v>
      </c>
      <c r="V30" s="305">
        <f t="shared" si="24"/>
        <v>21.64</v>
      </c>
      <c r="W30" s="82">
        <f t="shared" si="24"/>
        <v>21972804.609999999</v>
      </c>
      <c r="X30" s="305">
        <f t="shared" si="24"/>
        <v>21.67</v>
      </c>
      <c r="Y30" s="82">
        <f t="shared" si="24"/>
        <v>21905475.23</v>
      </c>
      <c r="Z30" s="305">
        <f t="shared" si="24"/>
        <v>21.6</v>
      </c>
      <c r="AA30" s="82">
        <f t="shared" si="24"/>
        <v>21905475.23</v>
      </c>
      <c r="AB30" s="305">
        <f t="shared" si="24"/>
        <v>21.56</v>
      </c>
      <c r="AC30" s="82">
        <f t="shared" si="24"/>
        <v>21906744.23</v>
      </c>
      <c r="AD30" s="305">
        <f t="shared" si="24"/>
        <v>21.52</v>
      </c>
      <c r="AE30" s="82">
        <f t="shared" ref="AE30:AJ30" si="25">SUM(AE23:AE29)</f>
        <v>21882095.41</v>
      </c>
      <c r="AF30" s="305">
        <f t="shared" si="25"/>
        <v>21.549999999999997</v>
      </c>
      <c r="AG30" s="82">
        <f t="shared" si="25"/>
        <v>21886065.309999999</v>
      </c>
      <c r="AH30" s="305">
        <f t="shared" si="25"/>
        <v>21.549999999999997</v>
      </c>
      <c r="AI30" s="82">
        <f t="shared" si="25"/>
        <v>22119372.710000001</v>
      </c>
      <c r="AJ30" s="305">
        <f t="shared" si="25"/>
        <v>21.79</v>
      </c>
      <c r="AK30" s="82">
        <f t="shared" ref="AK30:AP30" si="26">SUM(AK23:AK29)</f>
        <v>22119372.710000001</v>
      </c>
      <c r="AL30" s="305">
        <f t="shared" si="26"/>
        <v>21.73</v>
      </c>
      <c r="AM30" s="82">
        <f t="shared" si="26"/>
        <v>22119372.710000001</v>
      </c>
      <c r="AN30" s="305">
        <f t="shared" si="26"/>
        <v>21.71</v>
      </c>
      <c r="AO30" s="82">
        <f t="shared" si="26"/>
        <v>22119372.710000001</v>
      </c>
      <c r="AP30" s="305">
        <f t="shared" si="26"/>
        <v>21.74</v>
      </c>
      <c r="AQ30" s="82">
        <f t="shared" ref="AQ30:AV30" si="27">SUM(AQ23:AQ29)</f>
        <v>22163081.740000002</v>
      </c>
      <c r="AR30" s="305">
        <f t="shared" si="27"/>
        <v>21.720000000000002</v>
      </c>
      <c r="AS30" s="82">
        <f t="shared" si="27"/>
        <v>22157081.740000002</v>
      </c>
      <c r="AT30" s="305">
        <f t="shared" si="27"/>
        <v>21.749999999999996</v>
      </c>
      <c r="AU30" s="82">
        <f t="shared" si="27"/>
        <v>22140176.359999999</v>
      </c>
      <c r="AV30" s="305">
        <f t="shared" si="27"/>
        <v>21.73</v>
      </c>
    </row>
    <row r="31" spans="1:48" ht="16.5" thickBot="1">
      <c r="A31" s="1029" t="s">
        <v>48</v>
      </c>
      <c r="B31" s="1030"/>
      <c r="C31" s="110"/>
      <c r="D31" s="322"/>
      <c r="E31" s="110"/>
      <c r="F31" s="322"/>
      <c r="G31" s="110"/>
      <c r="H31" s="322"/>
      <c r="I31" s="110"/>
      <c r="J31" s="322"/>
      <c r="K31" s="110"/>
      <c r="L31" s="322"/>
      <c r="M31" s="110"/>
      <c r="N31" s="322"/>
      <c r="O31" s="110"/>
      <c r="P31" s="322"/>
      <c r="Q31" s="110"/>
      <c r="R31" s="322"/>
      <c r="S31" s="110"/>
      <c r="T31" s="322"/>
      <c r="U31" s="110"/>
      <c r="V31" s="322"/>
      <c r="W31" s="110"/>
      <c r="X31" s="322"/>
      <c r="Y31" s="110"/>
      <c r="Z31" s="322"/>
      <c r="AA31" s="110"/>
      <c r="AB31" s="322"/>
      <c r="AC31" s="110"/>
      <c r="AD31" s="322"/>
      <c r="AE31" s="110"/>
      <c r="AF31" s="322"/>
      <c r="AG31" s="110"/>
      <c r="AH31" s="322"/>
      <c r="AI31" s="110"/>
      <c r="AJ31" s="322"/>
      <c r="AK31" s="110"/>
      <c r="AL31" s="322"/>
      <c r="AM31" s="110"/>
      <c r="AN31" s="322"/>
      <c r="AO31" s="110"/>
      <c r="AP31" s="322"/>
      <c r="AQ31" s="110"/>
      <c r="AR31" s="322"/>
      <c r="AS31" s="110"/>
      <c r="AT31" s="322"/>
      <c r="AU31" s="110"/>
      <c r="AV31" s="322"/>
    </row>
    <row r="32" spans="1:48" ht="16.5" thickBot="1">
      <c r="A32" s="1031" t="s">
        <v>44</v>
      </c>
      <c r="B32" s="1031"/>
      <c r="C32" s="112"/>
      <c r="D32" s="323"/>
      <c r="E32" s="112"/>
      <c r="F32" s="323"/>
      <c r="G32" s="112"/>
      <c r="H32" s="323"/>
      <c r="I32" s="112"/>
      <c r="J32" s="323"/>
      <c r="K32" s="112"/>
      <c r="L32" s="323"/>
      <c r="M32" s="112"/>
      <c r="N32" s="323"/>
      <c r="O32" s="112"/>
      <c r="P32" s="323"/>
      <c r="Q32" s="112"/>
      <c r="R32" s="323"/>
      <c r="S32" s="112"/>
      <c r="T32" s="323"/>
      <c r="U32" s="112"/>
      <c r="V32" s="323"/>
      <c r="W32" s="112"/>
      <c r="X32" s="323"/>
      <c r="Y32" s="112"/>
      <c r="Z32" s="323"/>
      <c r="AA32" s="112"/>
      <c r="AB32" s="323"/>
      <c r="AC32" s="112"/>
      <c r="AD32" s="323"/>
      <c r="AE32" s="112"/>
      <c r="AF32" s="323"/>
      <c r="AG32" s="112"/>
      <c r="AH32" s="323"/>
      <c r="AI32" s="112"/>
      <c r="AJ32" s="323"/>
      <c r="AK32" s="112"/>
      <c r="AL32" s="323"/>
      <c r="AM32" s="112"/>
      <c r="AN32" s="323"/>
      <c r="AO32" s="112"/>
      <c r="AP32" s="323"/>
      <c r="AQ32" s="112"/>
      <c r="AR32" s="323"/>
      <c r="AS32" s="112"/>
      <c r="AT32" s="323"/>
      <c r="AU32" s="112"/>
      <c r="AV32" s="323"/>
    </row>
    <row r="33" spans="1:49">
      <c r="A33" s="114" t="s">
        <v>67</v>
      </c>
      <c r="B33" s="115" t="s">
        <v>74</v>
      </c>
      <c r="C33" s="337"/>
      <c r="D33" s="338"/>
      <c r="E33" s="120">
        <v>300</v>
      </c>
      <c r="F33" s="324"/>
      <c r="G33" s="120">
        <v>300</v>
      </c>
      <c r="H33" s="324"/>
      <c r="I33" s="120">
        <v>300</v>
      </c>
      <c r="J33" s="324"/>
      <c r="K33" s="120">
        <v>300</v>
      </c>
      <c r="L33" s="324"/>
      <c r="M33" s="120">
        <v>300</v>
      </c>
      <c r="N33" s="324"/>
      <c r="O33" s="120">
        <v>300</v>
      </c>
      <c r="P33" s="324"/>
      <c r="Q33" s="120">
        <v>300</v>
      </c>
      <c r="R33" s="324"/>
      <c r="S33" s="120">
        <v>300</v>
      </c>
      <c r="T33" s="324"/>
      <c r="U33" s="120">
        <v>300</v>
      </c>
      <c r="V33" s="324"/>
      <c r="W33" s="120">
        <v>300</v>
      </c>
      <c r="X33" s="324"/>
      <c r="Y33" s="120">
        <v>300</v>
      </c>
      <c r="Z33" s="324"/>
      <c r="AA33" s="120">
        <v>300</v>
      </c>
      <c r="AB33" s="324"/>
      <c r="AC33" s="120">
        <v>300</v>
      </c>
      <c r="AD33" s="324"/>
      <c r="AE33" s="120">
        <v>300</v>
      </c>
      <c r="AF33" s="324"/>
      <c r="AG33" s="120">
        <v>300</v>
      </c>
      <c r="AH33" s="324"/>
      <c r="AI33" s="120">
        <v>300</v>
      </c>
      <c r="AJ33" s="324"/>
      <c r="AK33" s="120">
        <v>300</v>
      </c>
      <c r="AL33" s="324"/>
      <c r="AM33" s="120">
        <v>300</v>
      </c>
      <c r="AN33" s="324"/>
      <c r="AO33" s="120">
        <v>300</v>
      </c>
      <c r="AP33" s="324"/>
      <c r="AQ33" s="400">
        <v>300</v>
      </c>
      <c r="AR33" s="324"/>
      <c r="AS33" s="400">
        <v>300</v>
      </c>
      <c r="AT33" s="324"/>
      <c r="AU33" s="401"/>
      <c r="AV33" s="338"/>
    </row>
    <row r="34" spans="1:49" ht="47.25">
      <c r="A34" s="122" t="s">
        <v>58</v>
      </c>
      <c r="B34" s="123" t="s">
        <v>75</v>
      </c>
      <c r="C34" s="365">
        <v>106410.96</v>
      </c>
      <c r="D34" s="325">
        <v>0.11</v>
      </c>
      <c r="E34" s="365">
        <v>107397.26</v>
      </c>
      <c r="F34" s="325">
        <v>0.11</v>
      </c>
      <c r="G34" s="365">
        <v>108383.56</v>
      </c>
      <c r="H34" s="325">
        <v>0.11</v>
      </c>
      <c r="I34" s="365">
        <v>111342.47</v>
      </c>
      <c r="J34" s="325">
        <v>0.11</v>
      </c>
      <c r="K34" s="365">
        <v>112328.77</v>
      </c>
      <c r="L34" s="325">
        <v>0.11</v>
      </c>
      <c r="M34" s="365">
        <v>113315.07</v>
      </c>
      <c r="N34" s="325">
        <v>0.11</v>
      </c>
      <c r="O34" s="365">
        <v>114301.37</v>
      </c>
      <c r="P34" s="325">
        <v>0.11</v>
      </c>
      <c r="Q34" s="365">
        <v>115287.67</v>
      </c>
      <c r="R34" s="325">
        <v>0.11</v>
      </c>
      <c r="S34" s="381">
        <v>117891.51</v>
      </c>
      <c r="T34" s="325">
        <v>0.12</v>
      </c>
      <c r="U34" s="385">
        <v>118636.72</v>
      </c>
      <c r="V34" s="325">
        <v>0.12</v>
      </c>
      <c r="W34" s="389">
        <v>119618.09</v>
      </c>
      <c r="X34" s="325">
        <v>0.12</v>
      </c>
      <c r="Y34" s="389">
        <v>120599.46</v>
      </c>
      <c r="Z34" s="325">
        <v>0.12</v>
      </c>
      <c r="AA34" s="389">
        <v>121580.83</v>
      </c>
      <c r="AB34" s="325">
        <v>0.12</v>
      </c>
      <c r="AC34" s="389">
        <v>124524.93</v>
      </c>
      <c r="AD34" s="325">
        <v>0.12</v>
      </c>
      <c r="AE34" s="389">
        <v>125506.3</v>
      </c>
      <c r="AF34" s="325">
        <v>0.12</v>
      </c>
      <c r="AG34" s="389">
        <v>126487.67</v>
      </c>
      <c r="AH34" s="325">
        <v>0.13</v>
      </c>
      <c r="AI34" s="389">
        <v>127469.04</v>
      </c>
      <c r="AJ34" s="325">
        <v>0.13</v>
      </c>
      <c r="AK34" s="389">
        <v>128450.41</v>
      </c>
      <c r="AL34" s="325">
        <v>0.13</v>
      </c>
      <c r="AM34" s="389">
        <v>131394.51999999999</v>
      </c>
      <c r="AN34" s="325">
        <v>0.13</v>
      </c>
      <c r="AO34" s="389">
        <v>132375.89000000001</v>
      </c>
      <c r="AP34" s="325">
        <v>0.13</v>
      </c>
      <c r="AQ34" s="398">
        <v>133357.26</v>
      </c>
      <c r="AR34" s="325">
        <v>0.13</v>
      </c>
      <c r="AS34" s="398">
        <v>134338.63</v>
      </c>
      <c r="AT34" s="325">
        <v>0.13</v>
      </c>
      <c r="AU34" s="389">
        <v>135320</v>
      </c>
      <c r="AV34" s="325">
        <v>0.13</v>
      </c>
      <c r="AW34" s="56" t="s">
        <v>97</v>
      </c>
    </row>
    <row r="35" spans="1:49">
      <c r="A35" s="122" t="s">
        <v>33</v>
      </c>
      <c r="B35" s="123" t="s">
        <v>57</v>
      </c>
      <c r="C35" s="116"/>
      <c r="D35" s="326"/>
      <c r="E35" s="116"/>
      <c r="F35" s="326"/>
      <c r="G35" s="116"/>
      <c r="H35" s="326"/>
      <c r="I35" s="116"/>
      <c r="J35" s="326"/>
      <c r="K35" s="116"/>
      <c r="L35" s="326"/>
      <c r="M35" s="116"/>
      <c r="N35" s="326"/>
      <c r="O35" s="116"/>
      <c r="P35" s="326"/>
      <c r="Q35" s="116"/>
      <c r="R35" s="326"/>
      <c r="S35" s="116"/>
      <c r="T35" s="326"/>
      <c r="U35" s="116"/>
      <c r="V35" s="326"/>
      <c r="W35" s="116"/>
      <c r="X35" s="326"/>
      <c r="Y35" s="116"/>
      <c r="Z35" s="326"/>
      <c r="AA35" s="116"/>
      <c r="AB35" s="326"/>
      <c r="AC35" s="116"/>
      <c r="AD35" s="326"/>
      <c r="AE35" s="116"/>
      <c r="AF35" s="326"/>
      <c r="AG35" s="116"/>
      <c r="AH35" s="326"/>
      <c r="AI35" s="116"/>
      <c r="AJ35" s="326"/>
      <c r="AK35" s="116"/>
      <c r="AL35" s="326"/>
      <c r="AM35" s="116"/>
      <c r="AN35" s="326"/>
      <c r="AO35" s="116"/>
      <c r="AP35" s="326"/>
      <c r="AQ35" s="116"/>
      <c r="AR35" s="326"/>
      <c r="AS35" s="116"/>
      <c r="AT35" s="326"/>
      <c r="AU35" s="116"/>
      <c r="AV35" s="326"/>
    </row>
    <row r="36" spans="1:49">
      <c r="A36" s="122" t="s">
        <v>29</v>
      </c>
      <c r="B36" s="123" t="s">
        <v>57</v>
      </c>
      <c r="C36" s="116"/>
      <c r="D36" s="326"/>
      <c r="E36" s="116"/>
      <c r="F36" s="326"/>
      <c r="G36" s="116"/>
      <c r="H36" s="326"/>
      <c r="I36" s="116"/>
      <c r="J36" s="326"/>
      <c r="K36" s="116"/>
      <c r="L36" s="326"/>
      <c r="M36" s="116"/>
      <c r="N36" s="326"/>
      <c r="O36" s="116"/>
      <c r="P36" s="326"/>
      <c r="Q36" s="116"/>
      <c r="R36" s="326"/>
      <c r="S36" s="116"/>
      <c r="T36" s="326"/>
      <c r="U36" s="116"/>
      <c r="V36" s="326"/>
      <c r="W36" s="116"/>
      <c r="X36" s="326"/>
      <c r="Y36" s="116"/>
      <c r="Z36" s="326"/>
      <c r="AA36" s="116"/>
      <c r="AB36" s="326"/>
      <c r="AC36" s="116"/>
      <c r="AD36" s="326"/>
      <c r="AE36" s="116"/>
      <c r="AF36" s="326"/>
      <c r="AG36" s="116"/>
      <c r="AH36" s="326"/>
      <c r="AI36" s="116"/>
      <c r="AJ36" s="326"/>
      <c r="AK36" s="391">
        <v>77366.94</v>
      </c>
      <c r="AL36" s="325">
        <v>0.08</v>
      </c>
      <c r="AM36" s="391">
        <v>77366.94</v>
      </c>
      <c r="AN36" s="325">
        <v>0.08</v>
      </c>
      <c r="AO36" s="391">
        <v>77366.94</v>
      </c>
      <c r="AP36" s="325">
        <v>0.08</v>
      </c>
      <c r="AQ36" s="399">
        <v>77366.94</v>
      </c>
      <c r="AR36" s="325">
        <v>0.08</v>
      </c>
      <c r="AS36" s="399">
        <v>77366.94</v>
      </c>
      <c r="AT36" s="325">
        <v>0.08</v>
      </c>
      <c r="AU36" s="406">
        <v>77366.94</v>
      </c>
      <c r="AV36" s="325">
        <v>0.08</v>
      </c>
      <c r="AW36" s="56" t="s">
        <v>97</v>
      </c>
    </row>
    <row r="37" spans="1:49">
      <c r="A37" s="122" t="s">
        <v>37</v>
      </c>
      <c r="B37" s="123" t="s">
        <v>57</v>
      </c>
      <c r="C37" s="116"/>
      <c r="D37" s="326"/>
      <c r="E37" s="116"/>
      <c r="F37" s="326"/>
      <c r="G37" s="116"/>
      <c r="H37" s="326"/>
      <c r="I37" s="116"/>
      <c r="J37" s="326"/>
      <c r="K37" s="116"/>
      <c r="L37" s="326"/>
      <c r="M37" s="116"/>
      <c r="N37" s="326"/>
      <c r="O37" s="116"/>
      <c r="P37" s="326"/>
      <c r="Q37" s="116"/>
      <c r="R37" s="326"/>
      <c r="S37" s="116"/>
      <c r="T37" s="326"/>
      <c r="U37" s="116"/>
      <c r="V37" s="326"/>
      <c r="W37" s="116"/>
      <c r="X37" s="326"/>
      <c r="Y37" s="116"/>
      <c r="Z37" s="326"/>
      <c r="AA37" s="116"/>
      <c r="AB37" s="326"/>
      <c r="AC37" s="116"/>
      <c r="AD37" s="326"/>
      <c r="AE37" s="116"/>
      <c r="AF37" s="326"/>
      <c r="AG37" s="116"/>
      <c r="AH37" s="326"/>
      <c r="AI37" s="116"/>
      <c r="AJ37" s="326"/>
      <c r="AK37" s="116"/>
      <c r="AL37" s="326"/>
      <c r="AM37" s="116"/>
      <c r="AN37" s="326"/>
      <c r="AO37" s="116"/>
      <c r="AP37" s="326"/>
      <c r="AQ37" s="116"/>
      <c r="AR37" s="326"/>
      <c r="AS37" s="116"/>
      <c r="AT37" s="326"/>
      <c r="AU37" s="116"/>
      <c r="AV37" s="326"/>
    </row>
    <row r="38" spans="1:49">
      <c r="A38" s="122" t="s">
        <v>68</v>
      </c>
      <c r="B38" s="123" t="s">
        <v>57</v>
      </c>
      <c r="C38" s="128"/>
      <c r="D38" s="326"/>
      <c r="E38" s="128"/>
      <c r="F38" s="326"/>
      <c r="G38" s="128"/>
      <c r="H38" s="326"/>
      <c r="I38" s="128"/>
      <c r="J38" s="326"/>
      <c r="K38" s="128"/>
      <c r="L38" s="326"/>
      <c r="M38" s="128"/>
      <c r="N38" s="326"/>
      <c r="O38" s="128"/>
      <c r="P38" s="326"/>
      <c r="Q38" s="128"/>
      <c r="R38" s="326"/>
      <c r="S38" s="128"/>
      <c r="T38" s="326"/>
      <c r="U38" s="128"/>
      <c r="V38" s="326"/>
      <c r="W38" s="128"/>
      <c r="X38" s="326"/>
      <c r="Y38" s="128"/>
      <c r="Z38" s="326"/>
      <c r="AA38" s="128"/>
      <c r="AB38" s="326"/>
      <c r="AC38" s="391">
        <v>232140.86</v>
      </c>
      <c r="AD38" s="325">
        <v>0.23</v>
      </c>
      <c r="AE38" s="391">
        <v>232140.86</v>
      </c>
      <c r="AF38" s="325">
        <v>0.23</v>
      </c>
      <c r="AG38" s="389">
        <v>232140.86</v>
      </c>
      <c r="AH38" s="325">
        <v>0.23</v>
      </c>
      <c r="AI38" s="116"/>
      <c r="AJ38" s="326"/>
      <c r="AK38" s="116"/>
      <c r="AL38" s="326"/>
      <c r="AM38" s="116"/>
      <c r="AN38" s="326"/>
      <c r="AO38" s="116"/>
      <c r="AP38" s="326"/>
      <c r="AQ38" s="116"/>
      <c r="AR38" s="326"/>
      <c r="AS38" s="116"/>
      <c r="AT38" s="326"/>
      <c r="AU38" s="116"/>
      <c r="AV38" s="326"/>
    </row>
    <row r="39" spans="1:49">
      <c r="A39" s="129" t="s">
        <v>69</v>
      </c>
      <c r="B39" s="123" t="s">
        <v>57</v>
      </c>
      <c r="C39" s="366">
        <v>244827.24</v>
      </c>
      <c r="D39" s="325">
        <v>0.24</v>
      </c>
      <c r="E39" s="366">
        <v>244594.07</v>
      </c>
      <c r="F39" s="325">
        <v>0.24</v>
      </c>
      <c r="G39" s="366">
        <v>244360.9</v>
      </c>
      <c r="H39" s="325">
        <v>0.24</v>
      </c>
      <c r="I39" s="366">
        <v>243661.39</v>
      </c>
      <c r="J39" s="325">
        <v>0.24</v>
      </c>
      <c r="K39" s="366">
        <v>243428.22</v>
      </c>
      <c r="L39" s="325">
        <v>0.24</v>
      </c>
      <c r="M39" s="366">
        <v>243195.05</v>
      </c>
      <c r="N39" s="325">
        <v>0.24</v>
      </c>
      <c r="O39" s="366">
        <v>242961.89</v>
      </c>
      <c r="P39" s="325">
        <v>0.24</v>
      </c>
      <c r="Q39" s="366">
        <v>242728.72</v>
      </c>
      <c r="R39" s="325">
        <v>0.24</v>
      </c>
      <c r="S39" s="383">
        <v>242029.21</v>
      </c>
      <c r="T39" s="325">
        <v>0.24</v>
      </c>
      <c r="U39" s="386">
        <v>241796.04</v>
      </c>
      <c r="V39" s="325">
        <v>0.24</v>
      </c>
      <c r="W39" s="386">
        <v>241562.87</v>
      </c>
      <c r="X39" s="325">
        <v>0.24</v>
      </c>
      <c r="Y39" s="386">
        <v>241329.7</v>
      </c>
      <c r="Z39" s="325">
        <v>0.24</v>
      </c>
      <c r="AA39" s="386">
        <v>241096.53</v>
      </c>
      <c r="AB39" s="325">
        <v>0.24</v>
      </c>
      <c r="AC39" s="386">
        <v>240397.03</v>
      </c>
      <c r="AD39" s="325">
        <v>0.24</v>
      </c>
      <c r="AE39" s="386">
        <v>240163.86</v>
      </c>
      <c r="AF39" s="325">
        <v>0.24</v>
      </c>
      <c r="AG39" s="386">
        <v>239930.69</v>
      </c>
      <c r="AH39" s="325">
        <v>0.24</v>
      </c>
      <c r="AI39" s="386">
        <v>239697.52</v>
      </c>
      <c r="AJ39" s="325">
        <v>0.24</v>
      </c>
      <c r="AK39" s="386">
        <v>490924.73</v>
      </c>
      <c r="AL39" s="325">
        <v>0.49</v>
      </c>
      <c r="AM39" s="386">
        <v>490225.23</v>
      </c>
      <c r="AN39" s="325">
        <v>0.48</v>
      </c>
      <c r="AO39" s="386">
        <v>489992.06</v>
      </c>
      <c r="AP39" s="325">
        <v>0.48</v>
      </c>
      <c r="AQ39" s="383">
        <v>489758.89</v>
      </c>
      <c r="AR39" s="325">
        <v>0.48</v>
      </c>
      <c r="AS39" s="383">
        <v>489525.72</v>
      </c>
      <c r="AT39" s="325">
        <v>0.48</v>
      </c>
      <c r="AU39" s="383">
        <v>489292.55000000005</v>
      </c>
      <c r="AV39" s="325">
        <v>0.48</v>
      </c>
      <c r="AW39" s="56" t="s">
        <v>97</v>
      </c>
    </row>
    <row r="40" spans="1:49" ht="47.25">
      <c r="A40" s="122" t="s">
        <v>70</v>
      </c>
      <c r="B40" s="123" t="s">
        <v>76</v>
      </c>
      <c r="C40" s="364">
        <v>3320000</v>
      </c>
      <c r="D40" s="325">
        <v>3.25</v>
      </c>
      <c r="E40" s="364">
        <v>3320000</v>
      </c>
      <c r="F40" s="325">
        <v>3.25</v>
      </c>
      <c r="G40" s="364">
        <v>3320000</v>
      </c>
      <c r="H40" s="325">
        <v>3.25</v>
      </c>
      <c r="I40" s="364">
        <v>3320000</v>
      </c>
      <c r="J40" s="325">
        <v>3.25</v>
      </c>
      <c r="K40" s="364">
        <v>3320000</v>
      </c>
      <c r="L40" s="325">
        <v>3.25</v>
      </c>
      <c r="M40" s="364">
        <v>3320000</v>
      </c>
      <c r="N40" s="325">
        <v>3.25</v>
      </c>
      <c r="O40" s="364">
        <v>3320000</v>
      </c>
      <c r="P40" s="325">
        <v>3.25</v>
      </c>
      <c r="Q40" s="364">
        <v>3320000</v>
      </c>
      <c r="R40" s="325">
        <v>3.24</v>
      </c>
      <c r="S40" s="382">
        <v>3303400</v>
      </c>
      <c r="T40" s="325">
        <v>3.26</v>
      </c>
      <c r="U40" s="382">
        <v>3303400</v>
      </c>
      <c r="V40" s="325">
        <v>3.26</v>
      </c>
      <c r="W40" s="382">
        <v>3303400</v>
      </c>
      <c r="X40" s="325">
        <v>3.26</v>
      </c>
      <c r="Y40" s="382">
        <v>3303400</v>
      </c>
      <c r="Z40" s="325">
        <v>3.26</v>
      </c>
      <c r="AA40" s="382">
        <v>3303400</v>
      </c>
      <c r="AB40" s="325">
        <v>3.26</v>
      </c>
      <c r="AC40" s="382">
        <v>3303400</v>
      </c>
      <c r="AD40" s="325">
        <v>3.25</v>
      </c>
      <c r="AE40" s="382">
        <v>3303400</v>
      </c>
      <c r="AF40" s="325">
        <v>3.25</v>
      </c>
      <c r="AG40" s="382">
        <v>3303400</v>
      </c>
      <c r="AH40" s="325">
        <v>3.25</v>
      </c>
      <c r="AI40" s="382">
        <v>3303400</v>
      </c>
      <c r="AJ40" s="325">
        <v>3.25</v>
      </c>
      <c r="AK40" s="382">
        <v>3303400</v>
      </c>
      <c r="AL40" s="325">
        <v>3.25</v>
      </c>
      <c r="AM40" s="382">
        <v>3303400</v>
      </c>
      <c r="AN40" s="325">
        <v>3.24</v>
      </c>
      <c r="AO40" s="382">
        <v>3303400</v>
      </c>
      <c r="AP40" s="325">
        <v>3.24</v>
      </c>
      <c r="AQ40" s="382">
        <v>3203900</v>
      </c>
      <c r="AR40" s="325">
        <v>3.14</v>
      </c>
      <c r="AS40" s="382">
        <v>3203900</v>
      </c>
      <c r="AT40" s="325">
        <v>3.14</v>
      </c>
      <c r="AU40" s="403">
        <v>3203900</v>
      </c>
      <c r="AV40" s="325">
        <v>3.14</v>
      </c>
      <c r="AW40" s="56" t="s">
        <v>97</v>
      </c>
    </row>
    <row r="41" spans="1:49" ht="47.25">
      <c r="A41" s="122" t="s">
        <v>71</v>
      </c>
      <c r="B41" s="123" t="s">
        <v>57</v>
      </c>
      <c r="C41" s="116"/>
      <c r="D41" s="326"/>
      <c r="E41" s="116"/>
      <c r="F41" s="326"/>
      <c r="G41" s="116"/>
      <c r="H41" s="326"/>
      <c r="I41" s="116"/>
      <c r="J41" s="326"/>
      <c r="K41" s="116"/>
      <c r="L41" s="326"/>
      <c r="M41" s="116"/>
      <c r="N41" s="326"/>
      <c r="O41" s="116"/>
      <c r="P41" s="326"/>
      <c r="Q41" s="116"/>
      <c r="R41" s="326"/>
      <c r="S41" s="116"/>
      <c r="T41" s="326"/>
      <c r="U41" s="116"/>
      <c r="V41" s="326"/>
      <c r="W41" s="116"/>
      <c r="X41" s="326"/>
      <c r="Y41" s="116"/>
      <c r="Z41" s="326"/>
      <c r="AA41" s="116"/>
      <c r="AB41" s="326"/>
      <c r="AC41" s="116"/>
      <c r="AD41" s="326"/>
      <c r="AE41" s="116"/>
      <c r="AF41" s="326"/>
      <c r="AG41" s="116"/>
      <c r="AH41" s="326"/>
      <c r="AI41" s="116"/>
      <c r="AJ41" s="326"/>
      <c r="AK41" s="116"/>
      <c r="AL41" s="326"/>
      <c r="AM41" s="116"/>
      <c r="AN41" s="326"/>
      <c r="AO41" s="116"/>
      <c r="AP41" s="326"/>
      <c r="AQ41" s="116"/>
      <c r="AR41" s="326"/>
      <c r="AS41" s="116"/>
      <c r="AT41" s="326"/>
      <c r="AU41" s="116"/>
      <c r="AV41" s="326"/>
    </row>
    <row r="42" spans="1:49" ht="16.5" thickBot="1">
      <c r="A42" s="122" t="s">
        <v>49</v>
      </c>
      <c r="B42" s="123" t="s">
        <v>50</v>
      </c>
      <c r="C42" s="361">
        <v>10847.88</v>
      </c>
      <c r="D42" s="325">
        <v>0.01</v>
      </c>
      <c r="E42" s="361">
        <v>10897.88</v>
      </c>
      <c r="F42" s="325">
        <v>0.01</v>
      </c>
      <c r="G42" s="361">
        <v>10897.88</v>
      </c>
      <c r="H42" s="325">
        <v>0.01</v>
      </c>
      <c r="I42" s="361">
        <v>11160.66</v>
      </c>
      <c r="J42" s="325">
        <v>0.01</v>
      </c>
      <c r="K42" s="361">
        <v>11160.66</v>
      </c>
      <c r="L42" s="325">
        <v>0.01</v>
      </c>
      <c r="M42" s="361">
        <v>11160.66</v>
      </c>
      <c r="N42" s="325">
        <v>0.01</v>
      </c>
      <c r="O42" s="361">
        <v>11160.66</v>
      </c>
      <c r="P42" s="325">
        <v>0.01</v>
      </c>
      <c r="Q42" s="361">
        <v>11160.66</v>
      </c>
      <c r="R42" s="325">
        <v>0.01</v>
      </c>
      <c r="S42" s="361">
        <v>11160.66</v>
      </c>
      <c r="T42" s="325">
        <v>0.01</v>
      </c>
      <c r="U42" s="387">
        <v>12069.75</v>
      </c>
      <c r="V42" s="325">
        <v>0.01</v>
      </c>
      <c r="W42" s="387">
        <v>12069.75</v>
      </c>
      <c r="X42" s="325">
        <v>0.01</v>
      </c>
      <c r="Y42" s="387">
        <v>12069.75</v>
      </c>
      <c r="Z42" s="325">
        <v>0.01</v>
      </c>
      <c r="AA42" s="387">
        <v>12069.75</v>
      </c>
      <c r="AB42" s="325">
        <v>0.01</v>
      </c>
      <c r="AC42" s="387">
        <v>12069.75</v>
      </c>
      <c r="AD42" s="325">
        <v>0.01</v>
      </c>
      <c r="AE42" s="387">
        <v>12069.75</v>
      </c>
      <c r="AF42" s="325">
        <v>0.01</v>
      </c>
      <c r="AG42" s="387">
        <v>12069.75</v>
      </c>
      <c r="AH42" s="325">
        <v>0.01</v>
      </c>
      <c r="AI42" s="387">
        <v>12069.75</v>
      </c>
      <c r="AJ42" s="325">
        <v>0.01</v>
      </c>
      <c r="AK42" s="387">
        <v>12069.75</v>
      </c>
      <c r="AL42" s="325">
        <v>0.01</v>
      </c>
      <c r="AM42" s="387">
        <v>12069.75</v>
      </c>
      <c r="AN42" s="325">
        <v>0.01</v>
      </c>
      <c r="AO42" s="387">
        <v>12069.75</v>
      </c>
      <c r="AP42" s="325">
        <v>0.01</v>
      </c>
      <c r="AQ42" s="396">
        <v>12069.75</v>
      </c>
      <c r="AR42" s="325">
        <v>0.01</v>
      </c>
      <c r="AS42" s="396">
        <v>18069.75</v>
      </c>
      <c r="AT42" s="325">
        <v>0.01</v>
      </c>
      <c r="AU42" s="387">
        <v>11122.6</v>
      </c>
      <c r="AV42" s="325">
        <v>0.01</v>
      </c>
      <c r="AW42" s="56" t="s">
        <v>97</v>
      </c>
    </row>
    <row r="43" spans="1:49" ht="47.25">
      <c r="A43" s="122" t="s">
        <v>56</v>
      </c>
      <c r="B43" s="123" t="s">
        <v>77</v>
      </c>
      <c r="C43" s="363">
        <v>9541.2900000000009</v>
      </c>
      <c r="D43" s="325">
        <v>0.01</v>
      </c>
      <c r="E43" s="363">
        <v>9541.2900000000009</v>
      </c>
      <c r="F43" s="325">
        <v>0.01</v>
      </c>
      <c r="G43" s="363">
        <v>9541.2900000000009</v>
      </c>
      <c r="H43" s="325">
        <v>0.01</v>
      </c>
      <c r="I43" s="363">
        <v>9541.2900000000009</v>
      </c>
      <c r="J43" s="325">
        <v>0.01</v>
      </c>
      <c r="K43" s="363">
        <v>9541.2900000000009</v>
      </c>
      <c r="L43" s="325">
        <v>0.01</v>
      </c>
      <c r="M43" s="363">
        <v>9541.2900000000009</v>
      </c>
      <c r="N43" s="325">
        <v>0.01</v>
      </c>
      <c r="O43" s="363">
        <v>9541.2900000000009</v>
      </c>
      <c r="P43" s="325">
        <v>0.01</v>
      </c>
      <c r="Q43" s="363">
        <v>9541.2900000000009</v>
      </c>
      <c r="R43" s="325">
        <v>0.01</v>
      </c>
      <c r="S43" s="363">
        <v>9541.2900000000009</v>
      </c>
      <c r="T43" s="325">
        <v>0.01</v>
      </c>
      <c r="U43" s="388">
        <v>14995.82</v>
      </c>
      <c r="V43" s="325">
        <v>0.01</v>
      </c>
      <c r="W43" s="388">
        <v>14995.82</v>
      </c>
      <c r="X43" s="325">
        <v>0.01</v>
      </c>
      <c r="Y43" s="388">
        <v>14995.82</v>
      </c>
      <c r="Z43" s="325">
        <v>0.01</v>
      </c>
      <c r="AA43" s="388">
        <v>14995.82</v>
      </c>
      <c r="AB43" s="325">
        <v>0.01</v>
      </c>
      <c r="AC43" s="388">
        <v>14995.82</v>
      </c>
      <c r="AD43" s="325">
        <v>0.01</v>
      </c>
      <c r="AE43" s="388">
        <v>14995.82</v>
      </c>
      <c r="AF43" s="325">
        <v>0.02</v>
      </c>
      <c r="AG43" s="388">
        <v>14995.82</v>
      </c>
      <c r="AH43" s="325">
        <v>0.01</v>
      </c>
      <c r="AI43" s="388">
        <v>14995.82</v>
      </c>
      <c r="AJ43" s="325">
        <v>0.02</v>
      </c>
      <c r="AK43" s="388">
        <v>14995.82</v>
      </c>
      <c r="AL43" s="325">
        <v>0.01</v>
      </c>
      <c r="AM43" s="388">
        <v>14995.82</v>
      </c>
      <c r="AN43" s="325">
        <v>0.02</v>
      </c>
      <c r="AO43" s="388">
        <v>14995.82</v>
      </c>
      <c r="AP43" s="325">
        <v>0.02</v>
      </c>
      <c r="AQ43" s="397">
        <v>14995.82</v>
      </c>
      <c r="AR43" s="325">
        <v>0.02</v>
      </c>
      <c r="AS43" s="397">
        <v>14995.82</v>
      </c>
      <c r="AT43" s="325">
        <v>0.02</v>
      </c>
      <c r="AU43" s="404">
        <v>10773.41</v>
      </c>
      <c r="AV43" s="325">
        <v>0.01</v>
      </c>
      <c r="AW43" s="56" t="s">
        <v>97</v>
      </c>
    </row>
    <row r="44" spans="1:49" ht="78.75">
      <c r="A44" s="132" t="s">
        <v>72</v>
      </c>
      <c r="B44" s="123" t="s">
        <v>78</v>
      </c>
      <c r="C44" s="362">
        <v>1253.25</v>
      </c>
      <c r="D44" s="325">
        <v>0</v>
      </c>
      <c r="E44" s="362">
        <v>1253.25</v>
      </c>
      <c r="F44" s="325">
        <v>0</v>
      </c>
      <c r="G44" s="362">
        <v>1253.25</v>
      </c>
      <c r="H44" s="325">
        <v>0</v>
      </c>
      <c r="I44" s="362">
        <v>2829.91</v>
      </c>
      <c r="J44" s="325">
        <v>0.01</v>
      </c>
      <c r="K44" s="362">
        <v>2829.91</v>
      </c>
      <c r="L44" s="325">
        <v>0.01</v>
      </c>
      <c r="M44" s="362">
        <v>2829.91</v>
      </c>
      <c r="N44" s="325">
        <v>0.01</v>
      </c>
      <c r="O44" s="362">
        <v>2829.91</v>
      </c>
      <c r="P44" s="325">
        <v>0.01</v>
      </c>
      <c r="Q44" s="362">
        <v>2829.91</v>
      </c>
      <c r="R44" s="325">
        <v>0.01</v>
      </c>
      <c r="S44" s="362">
        <v>2829.91</v>
      </c>
      <c r="T44" s="325">
        <v>0</v>
      </c>
      <c r="U44" s="362">
        <v>2829.91</v>
      </c>
      <c r="V44" s="325">
        <v>0</v>
      </c>
      <c r="W44" s="362">
        <v>2829.91</v>
      </c>
      <c r="X44" s="325">
        <v>0</v>
      </c>
      <c r="Y44" s="362">
        <v>2829.91</v>
      </c>
      <c r="Z44" s="325">
        <v>0</v>
      </c>
      <c r="AA44" s="362">
        <v>2829.91</v>
      </c>
      <c r="AB44" s="325">
        <v>0</v>
      </c>
      <c r="AC44" s="362">
        <v>2829.91</v>
      </c>
      <c r="AD44" s="325">
        <v>0</v>
      </c>
      <c r="AE44" s="362">
        <v>2829.91</v>
      </c>
      <c r="AF44" s="325">
        <v>0</v>
      </c>
      <c r="AG44" s="362">
        <v>2829.91</v>
      </c>
      <c r="AH44" s="325">
        <v>0</v>
      </c>
      <c r="AI44" s="362">
        <v>2829.91</v>
      </c>
      <c r="AJ44" s="325">
        <v>0</v>
      </c>
      <c r="AK44" s="362">
        <v>2829.91</v>
      </c>
      <c r="AL44" s="325">
        <v>0</v>
      </c>
      <c r="AM44" s="362">
        <v>2829.91</v>
      </c>
      <c r="AN44" s="325">
        <v>0</v>
      </c>
      <c r="AO44" s="362">
        <v>2829.91</v>
      </c>
      <c r="AP44" s="325">
        <v>0</v>
      </c>
      <c r="AQ44" s="345">
        <v>2829.91</v>
      </c>
      <c r="AR44" s="325">
        <v>0</v>
      </c>
      <c r="AS44" s="345">
        <v>2829.91</v>
      </c>
      <c r="AT44" s="325">
        <v>0</v>
      </c>
      <c r="AU44" s="405">
        <v>1518.87</v>
      </c>
      <c r="AV44" s="325">
        <v>0</v>
      </c>
      <c r="AW44" s="56" t="s">
        <v>97</v>
      </c>
    </row>
    <row r="45" spans="1:49" ht="31.5">
      <c r="A45" s="132" t="s">
        <v>51</v>
      </c>
      <c r="B45" s="123" t="s">
        <v>52</v>
      </c>
      <c r="C45" s="368">
        <v>7404.37</v>
      </c>
      <c r="D45" s="325">
        <v>0.01</v>
      </c>
      <c r="E45" s="368">
        <v>7404.37</v>
      </c>
      <c r="F45" s="325">
        <v>0.01</v>
      </c>
      <c r="G45" s="368">
        <v>7404.37</v>
      </c>
      <c r="H45" s="325">
        <v>0.01</v>
      </c>
      <c r="I45" s="368">
        <v>7404.37</v>
      </c>
      <c r="J45" s="325">
        <v>0.01</v>
      </c>
      <c r="K45" s="373"/>
      <c r="L45" s="326"/>
      <c r="M45" s="373"/>
      <c r="N45" s="326"/>
      <c r="O45" s="373"/>
      <c r="P45" s="326"/>
      <c r="Q45" s="373"/>
      <c r="R45" s="326"/>
      <c r="S45" s="373"/>
      <c r="T45" s="326"/>
      <c r="U45" s="373"/>
      <c r="V45" s="326"/>
      <c r="W45" s="373"/>
      <c r="X45" s="326"/>
      <c r="Y45" s="373"/>
      <c r="Z45" s="326"/>
      <c r="AA45" s="373"/>
      <c r="AB45" s="326"/>
      <c r="AC45" s="373"/>
      <c r="AD45" s="326"/>
      <c r="AE45" s="373"/>
      <c r="AF45" s="326"/>
      <c r="AG45" s="373"/>
      <c r="AH45" s="326"/>
      <c r="AI45" s="373"/>
      <c r="AJ45" s="326"/>
      <c r="AK45" s="373"/>
      <c r="AL45" s="326"/>
      <c r="AM45" s="373"/>
      <c r="AN45" s="326"/>
      <c r="AO45" s="373"/>
      <c r="AP45" s="326"/>
      <c r="AQ45" s="373"/>
      <c r="AR45" s="326"/>
      <c r="AS45" s="373"/>
      <c r="AT45" s="326"/>
      <c r="AU45" s="402">
        <v>6596.02</v>
      </c>
      <c r="AV45" s="325">
        <v>0.01</v>
      </c>
      <c r="AW45" s="56" t="s">
        <v>97</v>
      </c>
    </row>
    <row r="46" spans="1:49" ht="31.5">
      <c r="A46" s="133" t="s">
        <v>73</v>
      </c>
      <c r="B46" s="134" t="s">
        <v>53</v>
      </c>
      <c r="C46" s="368">
        <v>65017.71</v>
      </c>
      <c r="D46" s="325">
        <v>0.06</v>
      </c>
      <c r="E46" s="368">
        <v>65017.71</v>
      </c>
      <c r="F46" s="325">
        <v>7.0000000000000007E-2</v>
      </c>
      <c r="G46" s="368">
        <v>65017.71</v>
      </c>
      <c r="H46" s="325">
        <v>0.06</v>
      </c>
      <c r="I46" s="368">
        <v>65017.71</v>
      </c>
      <c r="J46" s="325">
        <v>0.06</v>
      </c>
      <c r="K46" s="373"/>
      <c r="L46" s="326"/>
      <c r="M46" s="373"/>
      <c r="N46" s="326"/>
      <c r="O46" s="373"/>
      <c r="P46" s="326"/>
      <c r="Q46" s="373"/>
      <c r="R46" s="326"/>
      <c r="S46" s="373"/>
      <c r="T46" s="326"/>
      <c r="U46" s="373"/>
      <c r="V46" s="326"/>
      <c r="W46" s="373"/>
      <c r="X46" s="326"/>
      <c r="Y46" s="373"/>
      <c r="Z46" s="326"/>
      <c r="AA46" s="373"/>
      <c r="AB46" s="326"/>
      <c r="AC46" s="373"/>
      <c r="AD46" s="326"/>
      <c r="AE46" s="373"/>
      <c r="AF46" s="326"/>
      <c r="AG46" s="373"/>
      <c r="AH46" s="326"/>
      <c r="AI46" s="373"/>
      <c r="AJ46" s="326"/>
      <c r="AK46" s="373"/>
      <c r="AL46" s="326"/>
      <c r="AM46" s="373"/>
      <c r="AN46" s="326"/>
      <c r="AO46" s="373"/>
      <c r="AP46" s="326"/>
      <c r="AQ46" s="373"/>
      <c r="AR46" s="326"/>
      <c r="AS46" s="373"/>
      <c r="AT46" s="326"/>
      <c r="AU46" s="402">
        <v>48799.71</v>
      </c>
      <c r="AV46" s="325">
        <v>0.05</v>
      </c>
      <c r="AW46" s="56" t="s">
        <v>97</v>
      </c>
    </row>
    <row r="47" spans="1:49" ht="31.5">
      <c r="A47" s="122" t="s">
        <v>54</v>
      </c>
      <c r="B47" s="123" t="s">
        <v>79</v>
      </c>
      <c r="C47" s="254">
        <v>3041.31</v>
      </c>
      <c r="D47" s="325"/>
      <c r="E47" s="368">
        <v>3041.31</v>
      </c>
      <c r="F47" s="325"/>
      <c r="G47" s="368">
        <v>3041.31</v>
      </c>
      <c r="H47" s="325"/>
      <c r="I47" s="368">
        <v>3041.31</v>
      </c>
      <c r="J47" s="325"/>
      <c r="K47" s="368">
        <v>3041.31</v>
      </c>
      <c r="L47" s="325"/>
      <c r="M47" s="368">
        <v>3041.31</v>
      </c>
      <c r="N47" s="325"/>
      <c r="O47" s="368">
        <v>3041.31</v>
      </c>
      <c r="P47" s="325"/>
      <c r="Q47" s="368">
        <v>3041.31</v>
      </c>
      <c r="R47" s="325"/>
      <c r="S47" s="373"/>
      <c r="T47" s="326"/>
      <c r="U47" s="373"/>
      <c r="V47" s="326"/>
      <c r="W47" s="373"/>
      <c r="X47" s="326"/>
      <c r="Y47" s="373"/>
      <c r="Z47" s="326"/>
      <c r="AA47" s="373"/>
      <c r="AB47" s="326"/>
      <c r="AC47" s="373"/>
      <c r="AD47" s="326"/>
      <c r="AE47" s="373"/>
      <c r="AF47" s="326"/>
      <c r="AG47" s="373"/>
      <c r="AH47" s="326"/>
      <c r="AI47" s="373"/>
      <c r="AJ47" s="326"/>
      <c r="AK47" s="373"/>
      <c r="AL47" s="326"/>
      <c r="AM47" s="373"/>
      <c r="AN47" s="326"/>
      <c r="AO47" s="373"/>
      <c r="AP47" s="326"/>
      <c r="AQ47" s="373"/>
      <c r="AR47" s="326"/>
      <c r="AS47" s="373"/>
      <c r="AT47" s="326"/>
      <c r="AU47" s="402">
        <v>2564.64</v>
      </c>
      <c r="AV47" s="325">
        <v>0</v>
      </c>
      <c r="AW47" s="56" t="s">
        <v>97</v>
      </c>
    </row>
    <row r="48" spans="1:49" ht="32.25" thickBot="1">
      <c r="A48" s="135" t="s">
        <v>55</v>
      </c>
      <c r="B48" s="223" t="s">
        <v>80</v>
      </c>
      <c r="C48" s="336">
        <v>0</v>
      </c>
      <c r="D48" s="325"/>
      <c r="E48" s="336">
        <v>0</v>
      </c>
      <c r="F48" s="325"/>
      <c r="G48" s="336">
        <v>0</v>
      </c>
      <c r="H48" s="325"/>
      <c r="I48" s="336">
        <v>0</v>
      </c>
      <c r="J48" s="325"/>
      <c r="K48" s="336">
        <v>0</v>
      </c>
      <c r="L48" s="325"/>
      <c r="M48" s="336">
        <v>0</v>
      </c>
      <c r="N48" s="325"/>
      <c r="O48" s="336">
        <v>0</v>
      </c>
      <c r="P48" s="325"/>
      <c r="Q48" s="336">
        <v>0</v>
      </c>
      <c r="R48" s="325"/>
      <c r="S48" s="336">
        <v>0</v>
      </c>
      <c r="T48" s="325"/>
      <c r="U48" s="336">
        <v>0</v>
      </c>
      <c r="V48" s="325"/>
      <c r="W48" s="336">
        <v>0</v>
      </c>
      <c r="X48" s="325"/>
      <c r="Y48" s="336">
        <v>0</v>
      </c>
      <c r="Z48" s="325"/>
      <c r="AA48" s="336">
        <v>0</v>
      </c>
      <c r="AB48" s="325"/>
      <c r="AC48" s="336">
        <v>0</v>
      </c>
      <c r="AD48" s="325"/>
      <c r="AE48" s="336">
        <v>0</v>
      </c>
      <c r="AF48" s="325"/>
      <c r="AG48" s="336">
        <v>0</v>
      </c>
      <c r="AH48" s="325"/>
      <c r="AI48" s="336">
        <v>0</v>
      </c>
      <c r="AJ48" s="325"/>
      <c r="AK48" s="336">
        <v>0</v>
      </c>
      <c r="AL48" s="325"/>
      <c r="AM48" s="336">
        <v>0</v>
      </c>
      <c r="AN48" s="325"/>
      <c r="AO48" s="336">
        <v>0</v>
      </c>
      <c r="AP48" s="325"/>
      <c r="AQ48" s="336">
        <v>0</v>
      </c>
      <c r="AR48" s="325"/>
      <c r="AS48" s="336">
        <v>0</v>
      </c>
      <c r="AT48" s="325"/>
      <c r="AU48" s="336">
        <v>0</v>
      </c>
      <c r="AV48" s="325"/>
    </row>
    <row r="49" spans="1:49" ht="60.75" thickBot="1">
      <c r="A49" s="221" t="s">
        <v>82</v>
      </c>
      <c r="B49" s="222" t="s">
        <v>81</v>
      </c>
      <c r="C49" s="365">
        <v>39123.29</v>
      </c>
      <c r="D49" s="325">
        <v>0.04</v>
      </c>
      <c r="E49" s="365">
        <v>39890.410000000003</v>
      </c>
      <c r="F49" s="325">
        <v>0.04</v>
      </c>
      <c r="G49" s="365">
        <v>40657.53</v>
      </c>
      <c r="H49" s="325">
        <v>0.04</v>
      </c>
      <c r="I49" s="365">
        <v>42958.9</v>
      </c>
      <c r="J49" s="325">
        <v>0.04</v>
      </c>
      <c r="K49" s="365">
        <v>43726.03</v>
      </c>
      <c r="L49" s="325">
        <v>0.04</v>
      </c>
      <c r="M49" s="365">
        <v>44493.15</v>
      </c>
      <c r="N49" s="325">
        <v>0.04</v>
      </c>
      <c r="O49" s="365">
        <v>45260.27</v>
      </c>
      <c r="P49" s="325">
        <v>0.05</v>
      </c>
      <c r="Q49" s="365">
        <v>46027.4</v>
      </c>
      <c r="R49" s="325">
        <v>0.05</v>
      </c>
      <c r="S49" s="380">
        <v>48087.12</v>
      </c>
      <c r="T49" s="325">
        <v>0.05</v>
      </c>
      <c r="U49" s="385">
        <v>48850.41</v>
      </c>
      <c r="V49" s="325">
        <v>0.05</v>
      </c>
      <c r="W49" s="389">
        <v>49613.7</v>
      </c>
      <c r="X49" s="325">
        <v>0.05</v>
      </c>
      <c r="Y49" s="389">
        <v>50376.99</v>
      </c>
      <c r="Z49" s="325">
        <v>0.05</v>
      </c>
      <c r="AA49" s="389">
        <v>51140.27</v>
      </c>
      <c r="AB49" s="325">
        <v>0.05</v>
      </c>
      <c r="AC49" s="389">
        <v>53430.14</v>
      </c>
      <c r="AD49" s="325">
        <v>0.05</v>
      </c>
      <c r="AE49" s="389">
        <v>54193.42</v>
      </c>
      <c r="AF49" s="325">
        <v>0.05</v>
      </c>
      <c r="AG49" s="389">
        <v>54956.71</v>
      </c>
      <c r="AH49" s="325">
        <v>0.05</v>
      </c>
      <c r="AI49" s="389">
        <v>55720</v>
      </c>
      <c r="AJ49" s="325">
        <v>0.06</v>
      </c>
      <c r="AK49" s="389">
        <v>56483.29</v>
      </c>
      <c r="AL49" s="325">
        <v>0.06</v>
      </c>
      <c r="AM49" s="389">
        <v>58773.15</v>
      </c>
      <c r="AN49" s="325">
        <v>0.06</v>
      </c>
      <c r="AO49" s="389">
        <v>59536.44</v>
      </c>
      <c r="AP49" s="325">
        <v>0.06</v>
      </c>
      <c r="AQ49" s="398">
        <v>60299.73</v>
      </c>
      <c r="AR49" s="325">
        <v>0.06</v>
      </c>
      <c r="AS49" s="398">
        <v>61063.01</v>
      </c>
      <c r="AT49" s="325">
        <v>0.06</v>
      </c>
      <c r="AU49" s="389">
        <v>61826.3</v>
      </c>
      <c r="AV49" s="325">
        <v>0.06</v>
      </c>
      <c r="AW49" s="56" t="s">
        <v>97</v>
      </c>
    </row>
    <row r="50" spans="1:49" ht="16.5" thickBot="1">
      <c r="A50" s="260" t="s">
        <v>83</v>
      </c>
      <c r="B50" s="220"/>
      <c r="C50" s="206">
        <v>55452.05</v>
      </c>
      <c r="D50" s="325">
        <v>0.05</v>
      </c>
      <c r="E50" s="365">
        <v>57863.01</v>
      </c>
      <c r="F50" s="325">
        <v>0.06</v>
      </c>
      <c r="G50" s="365">
        <v>60273.97</v>
      </c>
      <c r="H50" s="325">
        <v>0.06</v>
      </c>
      <c r="I50" s="365">
        <v>2410.96</v>
      </c>
      <c r="J50" s="325">
        <v>0</v>
      </c>
      <c r="K50" s="365">
        <v>4821.92</v>
      </c>
      <c r="L50" s="325">
        <v>0.01</v>
      </c>
      <c r="M50" s="365">
        <v>7232.88</v>
      </c>
      <c r="N50" s="325">
        <v>0.01</v>
      </c>
      <c r="O50" s="365">
        <v>9643.84</v>
      </c>
      <c r="P50" s="325">
        <v>0.01</v>
      </c>
      <c r="Q50" s="365">
        <v>12054.79</v>
      </c>
      <c r="R50" s="325">
        <v>0.01</v>
      </c>
      <c r="S50" s="380">
        <v>19191.23</v>
      </c>
      <c r="T50" s="325">
        <v>0.02</v>
      </c>
      <c r="U50" s="385">
        <v>21590.14</v>
      </c>
      <c r="V50" s="325">
        <v>0.02</v>
      </c>
      <c r="W50" s="389">
        <v>23989.040000000001</v>
      </c>
      <c r="X50" s="325">
        <v>0.02</v>
      </c>
      <c r="Y50" s="389">
        <v>26387.95</v>
      </c>
      <c r="Z50" s="325">
        <v>0.03</v>
      </c>
      <c r="AA50" s="389">
        <v>28786.85</v>
      </c>
      <c r="AB50" s="325">
        <v>0.03</v>
      </c>
      <c r="AC50" s="389">
        <v>35983.56</v>
      </c>
      <c r="AD50" s="325">
        <v>0.04</v>
      </c>
      <c r="AE50" s="389">
        <v>38382.47</v>
      </c>
      <c r="AF50" s="325">
        <v>0.04</v>
      </c>
      <c r="AG50" s="389">
        <v>40781.370000000003</v>
      </c>
      <c r="AH50" s="325">
        <v>0.04</v>
      </c>
      <c r="AI50" s="389">
        <v>43180.27</v>
      </c>
      <c r="AJ50" s="325">
        <v>0.04</v>
      </c>
      <c r="AK50" s="389">
        <v>45579.18</v>
      </c>
      <c r="AL50" s="325">
        <v>0.04</v>
      </c>
      <c r="AM50" s="389">
        <v>52775.89</v>
      </c>
      <c r="AN50" s="325">
        <v>0.05</v>
      </c>
      <c r="AO50" s="389">
        <v>55174.79</v>
      </c>
      <c r="AP50" s="325">
        <v>0.05</v>
      </c>
      <c r="AQ50" s="398">
        <v>57573.7</v>
      </c>
      <c r="AR50" s="325">
        <v>0.06</v>
      </c>
      <c r="AS50" s="398">
        <v>59972.6</v>
      </c>
      <c r="AT50" s="325">
        <v>0.06</v>
      </c>
      <c r="AU50" s="389">
        <v>62371.51</v>
      </c>
      <c r="AV50" s="325">
        <v>0.06</v>
      </c>
      <c r="AW50" s="56" t="s">
        <v>97</v>
      </c>
    </row>
    <row r="51" spans="1:49" ht="16.5" thickBot="1">
      <c r="A51" s="260" t="s">
        <v>94</v>
      </c>
      <c r="B51" s="295"/>
      <c r="C51" s="367">
        <v>34000</v>
      </c>
      <c r="D51" s="325">
        <v>0.03</v>
      </c>
      <c r="E51" s="367">
        <v>34000</v>
      </c>
      <c r="F51" s="325">
        <v>0.03</v>
      </c>
      <c r="G51" s="367">
        <v>34000</v>
      </c>
      <c r="H51" s="325">
        <v>0.03</v>
      </c>
      <c r="I51" s="367">
        <v>34000</v>
      </c>
      <c r="J51" s="325">
        <v>0.03</v>
      </c>
      <c r="K51" s="367">
        <v>34000</v>
      </c>
      <c r="L51" s="325">
        <v>0.04</v>
      </c>
      <c r="M51" s="367">
        <v>34000</v>
      </c>
      <c r="N51" s="325">
        <v>0.03</v>
      </c>
      <c r="O51" s="367">
        <v>34000</v>
      </c>
      <c r="P51" s="325">
        <v>0.03</v>
      </c>
      <c r="Q51" s="367">
        <v>34000</v>
      </c>
      <c r="R51" s="325">
        <v>0.03</v>
      </c>
      <c r="S51" s="367">
        <v>34000</v>
      </c>
      <c r="T51" s="325">
        <v>0.03</v>
      </c>
      <c r="U51" s="367">
        <v>34000</v>
      </c>
      <c r="V51" s="325">
        <v>0.03</v>
      </c>
      <c r="W51" s="367">
        <v>34000</v>
      </c>
      <c r="X51" s="325">
        <v>0.03</v>
      </c>
      <c r="Y51" s="367">
        <v>34000</v>
      </c>
      <c r="Z51" s="325">
        <v>0.03</v>
      </c>
      <c r="AA51" s="367">
        <v>34000</v>
      </c>
      <c r="AB51" s="325">
        <v>0.03</v>
      </c>
      <c r="AC51" s="367">
        <v>34000</v>
      </c>
      <c r="AD51" s="325">
        <v>0.03</v>
      </c>
      <c r="AE51" s="367">
        <v>34000</v>
      </c>
      <c r="AF51" s="325">
        <v>0.03</v>
      </c>
      <c r="AG51" s="367">
        <v>34000</v>
      </c>
      <c r="AH51" s="325">
        <v>0.03</v>
      </c>
      <c r="AI51" s="367">
        <v>34000</v>
      </c>
      <c r="AJ51" s="325">
        <v>0.03</v>
      </c>
      <c r="AK51" s="367">
        <v>34000</v>
      </c>
      <c r="AL51" s="325">
        <v>0.03</v>
      </c>
      <c r="AM51" s="367">
        <v>34000</v>
      </c>
      <c r="AN51" s="325">
        <v>0.03</v>
      </c>
      <c r="AO51" s="367">
        <v>34000</v>
      </c>
      <c r="AP51" s="325">
        <v>0.03</v>
      </c>
      <c r="AQ51" s="348">
        <v>34000</v>
      </c>
      <c r="AR51" s="325">
        <v>0.03</v>
      </c>
      <c r="AS51" s="348">
        <v>34000</v>
      </c>
      <c r="AT51" s="325">
        <v>0.03</v>
      </c>
      <c r="AU51" s="348">
        <v>34000</v>
      </c>
      <c r="AV51" s="325">
        <v>0.03</v>
      </c>
      <c r="AW51" s="56" t="s">
        <v>97</v>
      </c>
    </row>
    <row r="52" spans="1:49" s="137" customFormat="1">
      <c r="A52" s="1032" t="s">
        <v>95</v>
      </c>
      <c r="B52" s="1033"/>
      <c r="C52" s="365">
        <v>1849.32</v>
      </c>
      <c r="D52" s="325">
        <v>0.01</v>
      </c>
      <c r="E52" s="365">
        <v>3698.63</v>
      </c>
      <c r="F52" s="325">
        <v>0.01</v>
      </c>
      <c r="G52" s="365">
        <v>5547.95</v>
      </c>
      <c r="H52" s="325">
        <v>0.02</v>
      </c>
      <c r="I52" s="365">
        <v>11095.89</v>
      </c>
      <c r="J52" s="325">
        <v>0.01</v>
      </c>
      <c r="K52" s="365">
        <v>12945.21</v>
      </c>
      <c r="L52" s="325">
        <v>0.01</v>
      </c>
      <c r="M52" s="365">
        <v>14794.52</v>
      </c>
      <c r="N52" s="325">
        <v>0.02</v>
      </c>
      <c r="O52" s="365">
        <v>16643.84</v>
      </c>
      <c r="P52" s="325">
        <v>0.02</v>
      </c>
      <c r="Q52" s="365">
        <v>18493.150000000001</v>
      </c>
      <c r="R52" s="325">
        <v>0.02</v>
      </c>
      <c r="S52" s="380">
        <v>23920.89</v>
      </c>
      <c r="T52" s="325">
        <v>0.02</v>
      </c>
      <c r="U52" s="385">
        <v>25760.959999999999</v>
      </c>
      <c r="V52" s="325">
        <v>0.02</v>
      </c>
      <c r="W52" s="389">
        <v>27601.03</v>
      </c>
      <c r="X52" s="325">
        <v>0.03</v>
      </c>
      <c r="Y52" s="389">
        <v>29441.1</v>
      </c>
      <c r="Z52" s="325">
        <v>0.03</v>
      </c>
      <c r="AA52" s="389">
        <v>31281.16</v>
      </c>
      <c r="AB52" s="325">
        <v>0.03</v>
      </c>
      <c r="AC52" s="389">
        <v>36801.370000000003</v>
      </c>
      <c r="AD52" s="325">
        <v>0.04</v>
      </c>
      <c r="AE52" s="389">
        <v>38641.440000000002</v>
      </c>
      <c r="AF52" s="325">
        <v>0.04</v>
      </c>
      <c r="AG52" s="389">
        <v>40481.51</v>
      </c>
      <c r="AH52" s="325">
        <v>0.04</v>
      </c>
      <c r="AI52" s="389">
        <v>42321.58</v>
      </c>
      <c r="AJ52" s="325">
        <v>0.04</v>
      </c>
      <c r="AK52" s="389">
        <v>44161.64</v>
      </c>
      <c r="AL52" s="325">
        <v>0.04</v>
      </c>
      <c r="AM52" s="389">
        <v>49681.85</v>
      </c>
      <c r="AN52" s="325">
        <v>0.05</v>
      </c>
      <c r="AO52" s="389">
        <v>51521.919999999998</v>
      </c>
      <c r="AP52" s="325">
        <v>0.05</v>
      </c>
      <c r="AQ52" s="398">
        <v>53361.99</v>
      </c>
      <c r="AR52" s="325">
        <v>0.05</v>
      </c>
      <c r="AS52" s="398">
        <v>55202.05</v>
      </c>
      <c r="AT52" s="325">
        <v>0.06</v>
      </c>
      <c r="AU52" s="389">
        <v>57042.13</v>
      </c>
      <c r="AV52" s="325">
        <v>0.06</v>
      </c>
      <c r="AW52" s="56" t="s">
        <v>97</v>
      </c>
    </row>
    <row r="53" spans="1:49" ht="16.5" thickBot="1">
      <c r="A53" s="1018"/>
      <c r="B53" s="1019"/>
      <c r="C53" s="140">
        <f t="shared" ref="C53:H53" si="28">SUM(C33:C52)</f>
        <v>3898768.67</v>
      </c>
      <c r="D53" s="140">
        <f t="shared" si="28"/>
        <v>3.819999999999999</v>
      </c>
      <c r="E53" s="140">
        <f t="shared" si="28"/>
        <v>3904899.19</v>
      </c>
      <c r="F53" s="140">
        <f t="shared" si="28"/>
        <v>3.839999999999999</v>
      </c>
      <c r="G53" s="140">
        <f t="shared" si="28"/>
        <v>3910679.72</v>
      </c>
      <c r="H53" s="140">
        <f t="shared" si="28"/>
        <v>3.8399999999999994</v>
      </c>
      <c r="I53" s="140">
        <f t="shared" ref="I53:N53" si="29">SUM(I33:I52)</f>
        <v>3864764.8600000003</v>
      </c>
      <c r="J53" s="140">
        <f t="shared" si="29"/>
        <v>3.7799999999999989</v>
      </c>
      <c r="K53" s="140">
        <f t="shared" si="29"/>
        <v>3798123.3200000003</v>
      </c>
      <c r="L53" s="140">
        <f t="shared" si="29"/>
        <v>3.7299999999999991</v>
      </c>
      <c r="M53" s="140">
        <f t="shared" si="29"/>
        <v>3803903.8400000003</v>
      </c>
      <c r="N53" s="140">
        <f t="shared" si="29"/>
        <v>3.7299999999999991</v>
      </c>
      <c r="O53" s="140">
        <f t="shared" ref="O53:T53" si="30">SUM(O33:O52)</f>
        <v>3809684.38</v>
      </c>
      <c r="P53" s="140">
        <f t="shared" si="30"/>
        <v>3.7399999999999989</v>
      </c>
      <c r="Q53" s="140">
        <f t="shared" si="30"/>
        <v>3815464.9000000004</v>
      </c>
      <c r="R53" s="140">
        <f t="shared" si="30"/>
        <v>3.7299999999999991</v>
      </c>
      <c r="S53" s="140">
        <f t="shared" si="30"/>
        <v>3812351.8200000003</v>
      </c>
      <c r="T53" s="140">
        <f t="shared" si="30"/>
        <v>3.7599999999999989</v>
      </c>
      <c r="U53" s="140">
        <f t="shared" ref="U53:AD53" si="31">SUM(U33:U52)</f>
        <v>3824229.75</v>
      </c>
      <c r="V53" s="140">
        <f t="shared" si="31"/>
        <v>3.7599999999999989</v>
      </c>
      <c r="W53" s="140">
        <f t="shared" si="31"/>
        <v>3829980.21</v>
      </c>
      <c r="X53" s="140">
        <f t="shared" si="31"/>
        <v>3.7699999999999987</v>
      </c>
      <c r="Y53" s="140">
        <f t="shared" si="31"/>
        <v>3835730.6800000006</v>
      </c>
      <c r="Z53" s="140">
        <f t="shared" si="31"/>
        <v>3.7799999999999985</v>
      </c>
      <c r="AA53" s="140">
        <f t="shared" si="31"/>
        <v>3841481.12</v>
      </c>
      <c r="AB53" s="140">
        <f t="shared" si="31"/>
        <v>3.7799999999999985</v>
      </c>
      <c r="AC53" s="140">
        <f t="shared" si="31"/>
        <v>4090873.37</v>
      </c>
      <c r="AD53" s="140">
        <f t="shared" si="31"/>
        <v>4.0199999999999987</v>
      </c>
      <c r="AE53" s="140">
        <f t="shared" ref="AE53:AJ53" si="32">SUM(AE33:AE52)</f>
        <v>4096623.83</v>
      </c>
      <c r="AF53" s="140">
        <f t="shared" si="32"/>
        <v>4.0299999999999994</v>
      </c>
      <c r="AG53" s="140">
        <f t="shared" si="32"/>
        <v>4102374.2899999996</v>
      </c>
      <c r="AH53" s="140">
        <f t="shared" si="32"/>
        <v>4.0299999999999994</v>
      </c>
      <c r="AI53" s="140">
        <f t="shared" si="32"/>
        <v>3875983.89</v>
      </c>
      <c r="AJ53" s="140">
        <f t="shared" si="32"/>
        <v>3.82</v>
      </c>
      <c r="AK53" s="140">
        <f t="shared" ref="AK53:AP53" si="33">SUM(AK33:AK52)</f>
        <v>4210561.67</v>
      </c>
      <c r="AL53" s="140">
        <f t="shared" si="33"/>
        <v>4.1399999999999997</v>
      </c>
      <c r="AM53" s="140">
        <f t="shared" si="33"/>
        <v>4227813.0599999996</v>
      </c>
      <c r="AN53" s="140">
        <f t="shared" si="33"/>
        <v>4.1499999999999995</v>
      </c>
      <c r="AO53" s="140">
        <f t="shared" si="33"/>
        <v>4233563.5200000005</v>
      </c>
      <c r="AP53" s="140">
        <f t="shared" si="33"/>
        <v>4.1499999999999995</v>
      </c>
      <c r="AQ53" s="140">
        <f t="shared" ref="AQ53:AV53" si="34">SUM(AQ33:AQ52)</f>
        <v>4139813.99</v>
      </c>
      <c r="AR53" s="140">
        <f t="shared" si="34"/>
        <v>4.0599999999999996</v>
      </c>
      <c r="AS53" s="140">
        <f t="shared" si="34"/>
        <v>4151564.4299999997</v>
      </c>
      <c r="AT53" s="140">
        <f t="shared" si="34"/>
        <v>4.0699999999999994</v>
      </c>
      <c r="AU53" s="140">
        <f t="shared" si="34"/>
        <v>4202494.6800000006</v>
      </c>
      <c r="AV53" s="140">
        <f t="shared" si="34"/>
        <v>4.1199999999999992</v>
      </c>
    </row>
    <row r="54" spans="1:49">
      <c r="B54" s="142" t="s">
        <v>59</v>
      </c>
      <c r="C54" s="143">
        <f t="shared" ref="C54:H54" si="35">C9+C16</f>
        <v>61473482.570000008</v>
      </c>
      <c r="D54" s="328">
        <f t="shared" si="35"/>
        <v>60.1</v>
      </c>
      <c r="E54" s="143">
        <f t="shared" si="35"/>
        <v>69038230.730000004</v>
      </c>
      <c r="F54" s="328">
        <f t="shared" si="35"/>
        <v>67.84</v>
      </c>
      <c r="G54" s="143">
        <f t="shared" si="35"/>
        <v>69004712</v>
      </c>
      <c r="H54" s="328">
        <f t="shared" si="35"/>
        <v>67.819999999999993</v>
      </c>
      <c r="I54" s="143">
        <f t="shared" ref="I54:N54" si="36">I9+I16</f>
        <v>69348141.199999988</v>
      </c>
      <c r="J54" s="328">
        <f t="shared" si="36"/>
        <v>67.919999999999987</v>
      </c>
      <c r="K54" s="143">
        <f t="shared" si="36"/>
        <v>69128227.24000001</v>
      </c>
      <c r="L54" s="328">
        <f t="shared" si="36"/>
        <v>67.830000000000013</v>
      </c>
      <c r="M54" s="143">
        <f t="shared" si="36"/>
        <v>69322070.030000001</v>
      </c>
      <c r="N54" s="328">
        <f t="shared" si="36"/>
        <v>67.89</v>
      </c>
      <c r="O54" s="143">
        <f t="shared" ref="O54:T54" si="37">O9+O16</f>
        <v>69179206.719999999</v>
      </c>
      <c r="P54" s="328">
        <f t="shared" si="37"/>
        <v>67.84</v>
      </c>
      <c r="Q54" s="143">
        <f t="shared" si="37"/>
        <v>69371340.680000007</v>
      </c>
      <c r="R54" s="328">
        <f t="shared" si="37"/>
        <v>67.899999999999991</v>
      </c>
      <c r="S54" s="143">
        <f t="shared" si="37"/>
        <v>68583881.370000005</v>
      </c>
      <c r="T54" s="328">
        <f t="shared" si="37"/>
        <v>67.64</v>
      </c>
      <c r="U54" s="143">
        <f t="shared" ref="U54:AD54" si="38">U9+U16</f>
        <v>68761409.579999998</v>
      </c>
      <c r="V54" s="328">
        <f t="shared" si="38"/>
        <v>67.690000000000012</v>
      </c>
      <c r="W54" s="143">
        <f t="shared" si="38"/>
        <v>68605456.659999996</v>
      </c>
      <c r="X54" s="328">
        <f t="shared" si="38"/>
        <v>67.649999999999991</v>
      </c>
      <c r="Y54" s="143">
        <f t="shared" si="38"/>
        <v>68653533.950000003</v>
      </c>
      <c r="Z54" s="328">
        <f t="shared" si="38"/>
        <v>67.710000000000008</v>
      </c>
      <c r="AA54" s="143">
        <f t="shared" si="38"/>
        <v>68836749.219999999</v>
      </c>
      <c r="AB54" s="328">
        <f t="shared" si="38"/>
        <v>67.760000000000005</v>
      </c>
      <c r="AC54" s="143">
        <f t="shared" si="38"/>
        <v>68759333.49000001</v>
      </c>
      <c r="AD54" s="328">
        <f t="shared" si="38"/>
        <v>67.570000000000007</v>
      </c>
      <c r="AE54" s="143">
        <f t="shared" ref="AE54:AJ54" si="39">AE9+AE16</f>
        <v>68556252.980000004</v>
      </c>
      <c r="AF54" s="328">
        <f t="shared" si="39"/>
        <v>67.52</v>
      </c>
      <c r="AG54" s="143">
        <f t="shared" si="39"/>
        <v>68583831.429999992</v>
      </c>
      <c r="AH54" s="328">
        <f t="shared" si="39"/>
        <v>67.52</v>
      </c>
      <c r="AI54" s="143">
        <f t="shared" si="39"/>
        <v>68509618.840000004</v>
      </c>
      <c r="AJ54" s="328">
        <f t="shared" si="39"/>
        <v>67.490000000000009</v>
      </c>
      <c r="AK54" s="143">
        <f t="shared" ref="AK54:AP54" si="40">AK9+AK16</f>
        <v>68429589.849999994</v>
      </c>
      <c r="AL54" s="328">
        <f t="shared" si="40"/>
        <v>67.25</v>
      </c>
      <c r="AM54" s="143">
        <f t="shared" si="40"/>
        <v>68505683.569999993</v>
      </c>
      <c r="AN54" s="328">
        <f t="shared" si="40"/>
        <v>67.259999999999991</v>
      </c>
      <c r="AO54" s="143">
        <f t="shared" si="40"/>
        <v>68365516.480000004</v>
      </c>
      <c r="AP54" s="328">
        <f t="shared" si="40"/>
        <v>67.210000000000008</v>
      </c>
      <c r="AQ54" s="143">
        <f t="shared" ref="AQ54:AV54" si="41">AQ9+AQ16</f>
        <v>68741950.719999999</v>
      </c>
      <c r="AR54" s="328">
        <f t="shared" si="41"/>
        <v>67.359999999999985</v>
      </c>
      <c r="AS54" s="143">
        <f t="shared" si="41"/>
        <v>68573725.760000005</v>
      </c>
      <c r="AT54" s="328">
        <f t="shared" si="41"/>
        <v>67.3</v>
      </c>
      <c r="AU54" s="143">
        <f t="shared" si="41"/>
        <v>68551067.590000004</v>
      </c>
      <c r="AV54" s="328">
        <f t="shared" si="41"/>
        <v>67.27</v>
      </c>
    </row>
    <row r="55" spans="1:49">
      <c r="A55" s="145" t="s">
        <v>60</v>
      </c>
      <c r="B55" s="145" t="s">
        <v>60</v>
      </c>
      <c r="C55" s="146">
        <f t="shared" ref="C55:H55" si="42">C30</f>
        <v>29889129.699999999</v>
      </c>
      <c r="D55" s="329">
        <f t="shared" si="42"/>
        <v>29.23</v>
      </c>
      <c r="E55" s="146">
        <f t="shared" si="42"/>
        <v>21823731.52</v>
      </c>
      <c r="F55" s="329">
        <f t="shared" si="42"/>
        <v>21.44</v>
      </c>
      <c r="G55" s="146">
        <f t="shared" si="42"/>
        <v>21823231.52</v>
      </c>
      <c r="H55" s="329">
        <f t="shared" si="42"/>
        <v>21.45</v>
      </c>
      <c r="I55" s="146">
        <f t="shared" ref="I55:N55" si="43">I30</f>
        <v>21886850.75</v>
      </c>
      <c r="J55" s="329">
        <f t="shared" si="43"/>
        <v>21.439999999999998</v>
      </c>
      <c r="K55" s="146">
        <f t="shared" si="43"/>
        <v>21976251.830000002</v>
      </c>
      <c r="L55" s="329">
        <f t="shared" si="43"/>
        <v>21.57</v>
      </c>
      <c r="M55" s="146">
        <f t="shared" si="43"/>
        <v>21976251.830000002</v>
      </c>
      <c r="N55" s="329">
        <f t="shared" si="43"/>
        <v>21.520000000000003</v>
      </c>
      <c r="O55" s="146">
        <f t="shared" ref="O55:T55" si="44">O30</f>
        <v>21976251.830000002</v>
      </c>
      <c r="P55" s="329">
        <f t="shared" si="44"/>
        <v>21.549999999999997</v>
      </c>
      <c r="Q55" s="146">
        <f t="shared" si="44"/>
        <v>21976251.830000002</v>
      </c>
      <c r="R55" s="329">
        <f t="shared" si="44"/>
        <v>21.509999999999998</v>
      </c>
      <c r="S55" s="146">
        <f t="shared" si="44"/>
        <v>21993399.140000001</v>
      </c>
      <c r="T55" s="329">
        <f t="shared" si="44"/>
        <v>21.69</v>
      </c>
      <c r="U55" s="146">
        <f t="shared" ref="U55:AD55" si="45">U30</f>
        <v>21972804.609999999</v>
      </c>
      <c r="V55" s="329">
        <f t="shared" si="45"/>
        <v>21.64</v>
      </c>
      <c r="W55" s="146">
        <f t="shared" si="45"/>
        <v>21972804.609999999</v>
      </c>
      <c r="X55" s="329">
        <f t="shared" si="45"/>
        <v>21.67</v>
      </c>
      <c r="Y55" s="146">
        <f t="shared" si="45"/>
        <v>21905475.23</v>
      </c>
      <c r="Z55" s="329">
        <f t="shared" si="45"/>
        <v>21.6</v>
      </c>
      <c r="AA55" s="146">
        <f t="shared" si="45"/>
        <v>21905475.23</v>
      </c>
      <c r="AB55" s="329">
        <f t="shared" si="45"/>
        <v>21.56</v>
      </c>
      <c r="AC55" s="146">
        <f t="shared" si="45"/>
        <v>21906744.23</v>
      </c>
      <c r="AD55" s="329">
        <f t="shared" si="45"/>
        <v>21.52</v>
      </c>
      <c r="AE55" s="146">
        <f t="shared" ref="AE55:AJ55" si="46">AE30</f>
        <v>21882095.41</v>
      </c>
      <c r="AF55" s="329">
        <f t="shared" si="46"/>
        <v>21.549999999999997</v>
      </c>
      <c r="AG55" s="146">
        <f t="shared" si="46"/>
        <v>21886065.309999999</v>
      </c>
      <c r="AH55" s="329">
        <f t="shared" si="46"/>
        <v>21.549999999999997</v>
      </c>
      <c r="AI55" s="146">
        <f t="shared" si="46"/>
        <v>22119372.710000001</v>
      </c>
      <c r="AJ55" s="329">
        <f t="shared" si="46"/>
        <v>21.79</v>
      </c>
      <c r="AK55" s="146">
        <f t="shared" ref="AK55:AP55" si="47">AK30</f>
        <v>22119372.710000001</v>
      </c>
      <c r="AL55" s="329">
        <f t="shared" si="47"/>
        <v>21.73</v>
      </c>
      <c r="AM55" s="146">
        <f t="shared" si="47"/>
        <v>22119372.710000001</v>
      </c>
      <c r="AN55" s="329">
        <f t="shared" si="47"/>
        <v>21.71</v>
      </c>
      <c r="AO55" s="146">
        <f t="shared" si="47"/>
        <v>22119372.710000001</v>
      </c>
      <c r="AP55" s="329">
        <f t="shared" si="47"/>
        <v>21.74</v>
      </c>
      <c r="AQ55" s="146">
        <f t="shared" ref="AQ55:AV55" si="48">AQ30</f>
        <v>22163081.740000002</v>
      </c>
      <c r="AR55" s="329">
        <f t="shared" si="48"/>
        <v>21.720000000000002</v>
      </c>
      <c r="AS55" s="146">
        <f t="shared" si="48"/>
        <v>22157081.740000002</v>
      </c>
      <c r="AT55" s="329">
        <f t="shared" si="48"/>
        <v>21.749999999999996</v>
      </c>
      <c r="AU55" s="146">
        <f t="shared" si="48"/>
        <v>22140176.359999999</v>
      </c>
      <c r="AV55" s="329">
        <f t="shared" si="48"/>
        <v>21.73</v>
      </c>
    </row>
    <row r="56" spans="1:49">
      <c r="B56" s="145" t="s">
        <v>61</v>
      </c>
      <c r="C56" s="146">
        <f t="shared" ref="C56:H56" si="49">C22</f>
        <v>7005983.7000000002</v>
      </c>
      <c r="D56" s="329">
        <f t="shared" si="49"/>
        <v>6.8500000000000005</v>
      </c>
      <c r="E56" s="146">
        <f t="shared" si="49"/>
        <v>7005983.7000000002</v>
      </c>
      <c r="F56" s="329">
        <f t="shared" si="49"/>
        <v>6.88</v>
      </c>
      <c r="G56" s="146">
        <f t="shared" si="49"/>
        <v>7005983.7000000002</v>
      </c>
      <c r="H56" s="329">
        <f t="shared" si="49"/>
        <v>6.89</v>
      </c>
      <c r="I56" s="146">
        <f t="shared" ref="I56:N56" si="50">I22</f>
        <v>7005983.7000000002</v>
      </c>
      <c r="J56" s="329">
        <f t="shared" si="50"/>
        <v>6.86</v>
      </c>
      <c r="K56" s="146">
        <f t="shared" si="50"/>
        <v>7005983.7000000002</v>
      </c>
      <c r="L56" s="329">
        <f t="shared" si="50"/>
        <v>6.87</v>
      </c>
      <c r="M56" s="146">
        <f t="shared" si="50"/>
        <v>7005983.7000000002</v>
      </c>
      <c r="N56" s="329">
        <f t="shared" si="50"/>
        <v>6.86</v>
      </c>
      <c r="O56" s="146">
        <f t="shared" ref="O56:T56" si="51">O22</f>
        <v>7005983.7000000002</v>
      </c>
      <c r="P56" s="329">
        <f t="shared" si="51"/>
        <v>6.87</v>
      </c>
      <c r="Q56" s="146">
        <f t="shared" si="51"/>
        <v>7005983.7000000002</v>
      </c>
      <c r="R56" s="329">
        <f t="shared" si="51"/>
        <v>6.86</v>
      </c>
      <c r="S56" s="146">
        <f t="shared" si="51"/>
        <v>7005983.7000000002</v>
      </c>
      <c r="T56" s="329">
        <f t="shared" si="51"/>
        <v>6.91</v>
      </c>
      <c r="U56" s="146">
        <f t="shared" ref="U56:AD56" si="52">U22</f>
        <v>7005983.7000000002</v>
      </c>
      <c r="V56" s="329">
        <f t="shared" si="52"/>
        <v>6.91</v>
      </c>
      <c r="W56" s="146">
        <f t="shared" si="52"/>
        <v>7005983.7000000002</v>
      </c>
      <c r="X56" s="329">
        <f t="shared" si="52"/>
        <v>6.91</v>
      </c>
      <c r="Y56" s="146">
        <f t="shared" si="52"/>
        <v>7005983.7000000002</v>
      </c>
      <c r="Z56" s="329">
        <f t="shared" si="52"/>
        <v>6.91</v>
      </c>
      <c r="AA56" s="146">
        <f t="shared" si="52"/>
        <v>7005983.7000000002</v>
      </c>
      <c r="AB56" s="329">
        <f t="shared" si="52"/>
        <v>6.8999999999999995</v>
      </c>
      <c r="AC56" s="146">
        <f t="shared" si="52"/>
        <v>7005983.7000000002</v>
      </c>
      <c r="AD56" s="329">
        <f t="shared" si="52"/>
        <v>6.89</v>
      </c>
      <c r="AE56" s="146">
        <f t="shared" ref="AE56:AJ56" si="53">AE22</f>
        <v>7005983.7000000002</v>
      </c>
      <c r="AF56" s="329">
        <f t="shared" si="53"/>
        <v>6.9</v>
      </c>
      <c r="AG56" s="146">
        <f t="shared" si="53"/>
        <v>7005983.7000000002</v>
      </c>
      <c r="AH56" s="329">
        <f t="shared" si="53"/>
        <v>6.9</v>
      </c>
      <c r="AI56" s="146">
        <f t="shared" si="53"/>
        <v>7005983.7000000002</v>
      </c>
      <c r="AJ56" s="329">
        <f t="shared" si="53"/>
        <v>6.9</v>
      </c>
      <c r="AK56" s="146">
        <f t="shared" ref="AK56:AP56" si="54">AK22</f>
        <v>7005983.7000000002</v>
      </c>
      <c r="AL56" s="329">
        <f t="shared" si="54"/>
        <v>6.88</v>
      </c>
      <c r="AM56" s="146">
        <f t="shared" si="54"/>
        <v>7005983.7000000002</v>
      </c>
      <c r="AN56" s="329">
        <f t="shared" si="54"/>
        <v>6.88</v>
      </c>
      <c r="AO56" s="146">
        <f t="shared" si="54"/>
        <v>7005983.7000000002</v>
      </c>
      <c r="AP56" s="329">
        <f t="shared" si="54"/>
        <v>6.89</v>
      </c>
      <c r="AQ56" s="146">
        <f t="shared" ref="AQ56:AV56" si="55">AQ22</f>
        <v>7005983.7000000002</v>
      </c>
      <c r="AR56" s="329">
        <f t="shared" si="55"/>
        <v>6.86</v>
      </c>
      <c r="AS56" s="146">
        <f t="shared" si="55"/>
        <v>7005983.7000000002</v>
      </c>
      <c r="AT56" s="329">
        <f t="shared" si="55"/>
        <v>6.88</v>
      </c>
      <c r="AU56" s="146">
        <f t="shared" si="55"/>
        <v>7005983.7000000002</v>
      </c>
      <c r="AV56" s="329">
        <f t="shared" si="55"/>
        <v>6.88</v>
      </c>
    </row>
    <row r="57" spans="1:49">
      <c r="B57" s="145" t="s">
        <v>62</v>
      </c>
      <c r="C57" s="146"/>
      <c r="D57" s="329"/>
      <c r="E57" s="146"/>
      <c r="F57" s="329"/>
      <c r="G57" s="146"/>
      <c r="H57" s="329"/>
      <c r="I57" s="146"/>
      <c r="J57" s="329"/>
      <c r="K57" s="146"/>
      <c r="L57" s="329"/>
      <c r="M57" s="146"/>
      <c r="N57" s="329"/>
      <c r="O57" s="146"/>
      <c r="P57" s="329"/>
      <c r="Q57" s="146"/>
      <c r="R57" s="329"/>
      <c r="S57" s="146"/>
      <c r="T57" s="329"/>
      <c r="U57" s="146"/>
      <c r="V57" s="329"/>
      <c r="W57" s="146"/>
      <c r="X57" s="329"/>
      <c r="Y57" s="146"/>
      <c r="Z57" s="329"/>
      <c r="AA57" s="146"/>
      <c r="AB57" s="329"/>
      <c r="AC57" s="146"/>
      <c r="AD57" s="329"/>
      <c r="AE57" s="146"/>
      <c r="AF57" s="329"/>
      <c r="AG57" s="146"/>
      <c r="AH57" s="329"/>
      <c r="AI57" s="146"/>
      <c r="AJ57" s="329"/>
      <c r="AK57" s="146"/>
      <c r="AL57" s="329"/>
      <c r="AM57" s="146"/>
      <c r="AN57" s="329"/>
      <c r="AO57" s="146"/>
      <c r="AP57" s="329"/>
      <c r="AQ57" s="146"/>
      <c r="AR57" s="329"/>
      <c r="AS57" s="146"/>
      <c r="AT57" s="329"/>
      <c r="AU57" s="146"/>
      <c r="AV57" s="329"/>
    </row>
    <row r="58" spans="1:49" ht="16.5" thickBot="1">
      <c r="A58" s="148" t="e">
        <v>#REF!</v>
      </c>
      <c r="B58" s="145" t="s">
        <v>63</v>
      </c>
      <c r="C58" s="149">
        <f t="shared" ref="C58:H58" si="56">C53</f>
        <v>3898768.67</v>
      </c>
      <c r="D58" s="330">
        <f t="shared" si="56"/>
        <v>3.819999999999999</v>
      </c>
      <c r="E58" s="149">
        <f t="shared" si="56"/>
        <v>3904899.19</v>
      </c>
      <c r="F58" s="330">
        <f t="shared" si="56"/>
        <v>3.839999999999999</v>
      </c>
      <c r="G58" s="149">
        <f t="shared" si="56"/>
        <v>3910679.72</v>
      </c>
      <c r="H58" s="330">
        <f t="shared" si="56"/>
        <v>3.8399999999999994</v>
      </c>
      <c r="I58" s="149">
        <f t="shared" ref="I58:N58" si="57">I53</f>
        <v>3864764.8600000003</v>
      </c>
      <c r="J58" s="330">
        <f t="shared" si="57"/>
        <v>3.7799999999999989</v>
      </c>
      <c r="K58" s="149">
        <f t="shared" si="57"/>
        <v>3798123.3200000003</v>
      </c>
      <c r="L58" s="330">
        <f t="shared" si="57"/>
        <v>3.7299999999999991</v>
      </c>
      <c r="M58" s="149">
        <f t="shared" si="57"/>
        <v>3803903.8400000003</v>
      </c>
      <c r="N58" s="330">
        <f t="shared" si="57"/>
        <v>3.7299999999999991</v>
      </c>
      <c r="O58" s="149">
        <f t="shared" ref="O58:T58" si="58">O53</f>
        <v>3809684.38</v>
      </c>
      <c r="P58" s="330">
        <f t="shared" si="58"/>
        <v>3.7399999999999989</v>
      </c>
      <c r="Q58" s="149">
        <f t="shared" si="58"/>
        <v>3815464.9000000004</v>
      </c>
      <c r="R58" s="330">
        <f t="shared" si="58"/>
        <v>3.7299999999999991</v>
      </c>
      <c r="S58" s="149">
        <f t="shared" si="58"/>
        <v>3812351.8200000003</v>
      </c>
      <c r="T58" s="330">
        <f t="shared" si="58"/>
        <v>3.7599999999999989</v>
      </c>
      <c r="U58" s="149">
        <f t="shared" ref="U58:AD58" si="59">U53</f>
        <v>3824229.75</v>
      </c>
      <c r="V58" s="330">
        <f t="shared" si="59"/>
        <v>3.7599999999999989</v>
      </c>
      <c r="W58" s="149">
        <f t="shared" si="59"/>
        <v>3829980.21</v>
      </c>
      <c r="X58" s="330">
        <f t="shared" si="59"/>
        <v>3.7699999999999987</v>
      </c>
      <c r="Y58" s="149">
        <f t="shared" si="59"/>
        <v>3835730.6800000006</v>
      </c>
      <c r="Z58" s="330">
        <f t="shared" si="59"/>
        <v>3.7799999999999985</v>
      </c>
      <c r="AA58" s="149">
        <f t="shared" si="59"/>
        <v>3841481.12</v>
      </c>
      <c r="AB58" s="330">
        <f t="shared" si="59"/>
        <v>3.7799999999999985</v>
      </c>
      <c r="AC58" s="149">
        <f t="shared" si="59"/>
        <v>4090873.37</v>
      </c>
      <c r="AD58" s="330">
        <f t="shared" si="59"/>
        <v>4.0199999999999987</v>
      </c>
      <c r="AE58" s="149">
        <f t="shared" ref="AE58:AJ58" si="60">AE53</f>
        <v>4096623.83</v>
      </c>
      <c r="AF58" s="330">
        <f t="shared" si="60"/>
        <v>4.0299999999999994</v>
      </c>
      <c r="AG58" s="149">
        <f t="shared" si="60"/>
        <v>4102374.2899999996</v>
      </c>
      <c r="AH58" s="330">
        <f t="shared" si="60"/>
        <v>4.0299999999999994</v>
      </c>
      <c r="AI58" s="149">
        <f t="shared" si="60"/>
        <v>3875983.89</v>
      </c>
      <c r="AJ58" s="330">
        <f t="shared" si="60"/>
        <v>3.82</v>
      </c>
      <c r="AK58" s="149">
        <f t="shared" ref="AK58:AP58" si="61">AK53</f>
        <v>4210561.67</v>
      </c>
      <c r="AL58" s="330">
        <f t="shared" si="61"/>
        <v>4.1399999999999997</v>
      </c>
      <c r="AM58" s="149">
        <f t="shared" si="61"/>
        <v>4227813.0599999996</v>
      </c>
      <c r="AN58" s="330">
        <f t="shared" si="61"/>
        <v>4.1499999999999995</v>
      </c>
      <c r="AO58" s="149">
        <f t="shared" si="61"/>
        <v>4233563.5200000005</v>
      </c>
      <c r="AP58" s="330">
        <f t="shared" si="61"/>
        <v>4.1499999999999995</v>
      </c>
      <c r="AQ58" s="149">
        <f t="shared" ref="AQ58:AV58" si="62">AQ53</f>
        <v>4139813.99</v>
      </c>
      <c r="AR58" s="330">
        <f t="shared" si="62"/>
        <v>4.0599999999999996</v>
      </c>
      <c r="AS58" s="149">
        <f t="shared" si="62"/>
        <v>4151564.4299999997</v>
      </c>
      <c r="AT58" s="330">
        <f t="shared" si="62"/>
        <v>4.0699999999999994</v>
      </c>
      <c r="AU58" s="149">
        <f t="shared" si="62"/>
        <v>4202494.6800000006</v>
      </c>
      <c r="AV58" s="330">
        <f t="shared" si="62"/>
        <v>4.1199999999999992</v>
      </c>
    </row>
    <row r="59" spans="1:49" ht="16.5" thickBot="1">
      <c r="A59" s="151"/>
      <c r="B59" s="152" t="s">
        <v>64</v>
      </c>
      <c r="C59" s="153">
        <f t="shared" ref="C59:H59" si="63">SUM(C54:C58)</f>
        <v>102267364.64000002</v>
      </c>
      <c r="D59" s="331">
        <f t="shared" si="63"/>
        <v>99.999999999999986</v>
      </c>
      <c r="E59" s="153">
        <f t="shared" si="63"/>
        <v>101772845.14</v>
      </c>
      <c r="F59" s="331">
        <f t="shared" si="63"/>
        <v>100</v>
      </c>
      <c r="G59" s="153">
        <f t="shared" si="63"/>
        <v>101744606.94</v>
      </c>
      <c r="H59" s="331">
        <f t="shared" si="63"/>
        <v>100</v>
      </c>
      <c r="I59" s="153">
        <f t="shared" ref="I59:N59" si="64">SUM(I54:I58)</f>
        <v>102105740.50999999</v>
      </c>
      <c r="J59" s="331">
        <f t="shared" si="64"/>
        <v>99.999999999999986</v>
      </c>
      <c r="K59" s="153">
        <f t="shared" si="64"/>
        <v>101908586.09</v>
      </c>
      <c r="L59" s="331">
        <f t="shared" si="64"/>
        <v>100.00000000000001</v>
      </c>
      <c r="M59" s="153">
        <f t="shared" si="64"/>
        <v>102108209.40000001</v>
      </c>
      <c r="N59" s="331">
        <f t="shared" si="64"/>
        <v>100</v>
      </c>
      <c r="O59" s="153">
        <f t="shared" ref="O59:T59" si="65">SUM(O54:O58)</f>
        <v>101971126.63</v>
      </c>
      <c r="P59" s="331">
        <f t="shared" si="65"/>
        <v>100</v>
      </c>
      <c r="Q59" s="153">
        <f t="shared" si="65"/>
        <v>102169041.11000001</v>
      </c>
      <c r="R59" s="331">
        <f t="shared" si="65"/>
        <v>100</v>
      </c>
      <c r="S59" s="153">
        <f t="shared" si="65"/>
        <v>101395616.03</v>
      </c>
      <c r="T59" s="331">
        <f t="shared" si="65"/>
        <v>100</v>
      </c>
      <c r="U59" s="153">
        <f t="shared" ref="U59:AD59" si="66">SUM(U54:U58)</f>
        <v>101564427.64</v>
      </c>
      <c r="V59" s="331">
        <f t="shared" si="66"/>
        <v>100.00000000000001</v>
      </c>
      <c r="W59" s="153">
        <f t="shared" si="66"/>
        <v>101414225.17999999</v>
      </c>
      <c r="X59" s="331">
        <f t="shared" si="66"/>
        <v>99.999999999999986</v>
      </c>
      <c r="Y59" s="153">
        <f t="shared" si="66"/>
        <v>101400723.56000002</v>
      </c>
      <c r="Z59" s="331">
        <f t="shared" si="66"/>
        <v>100</v>
      </c>
      <c r="AA59" s="153">
        <f t="shared" si="66"/>
        <v>101589689.27000001</v>
      </c>
      <c r="AB59" s="331">
        <f t="shared" si="66"/>
        <v>100.00000000000001</v>
      </c>
      <c r="AC59" s="153">
        <f t="shared" si="66"/>
        <v>101762934.79000002</v>
      </c>
      <c r="AD59" s="331">
        <f t="shared" si="66"/>
        <v>100</v>
      </c>
      <c r="AE59" s="153">
        <f t="shared" ref="AE59:AJ59" si="67">SUM(AE54:AE58)</f>
        <v>101540955.92</v>
      </c>
      <c r="AF59" s="331">
        <f t="shared" si="67"/>
        <v>100</v>
      </c>
      <c r="AG59" s="153">
        <f t="shared" si="67"/>
        <v>101578254.73</v>
      </c>
      <c r="AH59" s="331">
        <f t="shared" si="67"/>
        <v>100</v>
      </c>
      <c r="AI59" s="153">
        <f t="shared" si="67"/>
        <v>101510959.14000002</v>
      </c>
      <c r="AJ59" s="331">
        <f t="shared" si="67"/>
        <v>100</v>
      </c>
      <c r="AK59" s="153">
        <f t="shared" ref="AK59:AP59" si="68">SUM(AK54:AK58)</f>
        <v>101765507.93000001</v>
      </c>
      <c r="AL59" s="331">
        <f t="shared" si="68"/>
        <v>100</v>
      </c>
      <c r="AM59" s="153">
        <f t="shared" si="68"/>
        <v>101858853.04000001</v>
      </c>
      <c r="AN59" s="331">
        <f t="shared" si="68"/>
        <v>100</v>
      </c>
      <c r="AO59" s="153">
        <f t="shared" si="68"/>
        <v>101724436.41</v>
      </c>
      <c r="AP59" s="331">
        <f t="shared" si="68"/>
        <v>99.990000000000009</v>
      </c>
      <c r="AQ59" s="153">
        <f t="shared" ref="AQ59:AV59" si="69">SUM(AQ54:AQ58)</f>
        <v>102050830.15000001</v>
      </c>
      <c r="AR59" s="153">
        <f t="shared" si="69"/>
        <v>99.999999999999986</v>
      </c>
      <c r="AS59" s="153">
        <f t="shared" si="69"/>
        <v>101888355.63</v>
      </c>
      <c r="AT59" s="153">
        <f t="shared" si="69"/>
        <v>99.999999999999986</v>
      </c>
      <c r="AU59" s="153">
        <f t="shared" si="69"/>
        <v>101899722.33000001</v>
      </c>
      <c r="AV59" s="153">
        <f t="shared" si="69"/>
        <v>100</v>
      </c>
    </row>
    <row r="60" spans="1:49">
      <c r="I60" s="294">
        <f>I59-[38]REP_Zagolovok!$D$88</f>
        <v>2.9999911785125732E-3</v>
      </c>
      <c r="K60" s="294">
        <f>K59-[39]REP_Zagolovok!$D$88</f>
        <v>-3.4999847412109375E-3</v>
      </c>
      <c r="M60" s="294">
        <f>M59-[40]REP_Zagolovok!$D$88</f>
        <v>0</v>
      </c>
      <c r="O60" s="294">
        <f>O59-[41]REP_Zagolovok!$D$88</f>
        <v>3.4999996423721313E-3</v>
      </c>
      <c r="Q60" s="294">
        <f>Q59-[42]REP_Zagolovok!$D$88</f>
        <v>-2.9999911785125732E-3</v>
      </c>
      <c r="S60" s="294">
        <f>S59-[43]REP_Zagolovok!$D$88</f>
        <v>-2.499997615814209E-3</v>
      </c>
      <c r="U60" s="294">
        <v>101564427.641</v>
      </c>
      <c r="W60" s="294">
        <f>W59-[44]REP_Zagolovok!$D$88</f>
        <v>4.9999356269836426E-4</v>
      </c>
      <c r="Y60" s="294">
        <f>Y59-[45]REP_Zagolovok!$D$88</f>
        <v>2.0000040531158447E-3</v>
      </c>
      <c r="AA60" s="294">
        <f>AA59-[46]REP_Zagolovok!$D$88</f>
        <v>1.4999955892562866E-3</v>
      </c>
      <c r="AC60" s="294">
        <f>AC59-[47]REP_Zagolovok!$D$88</f>
        <v>3.0000060796737671E-3</v>
      </c>
      <c r="AE60" s="294">
        <f>AE59-[48]REP_Zagolovok!$D$88</f>
        <v>4.5000016689300537E-3</v>
      </c>
      <c r="AG60" s="294">
        <f>AG59-[49]REP_Zagolovok!$D$88</f>
        <v>-2.0000040531158447E-3</v>
      </c>
      <c r="AI60" s="294">
        <f>AI59-[50]REP_Zagolovok!$D$88</f>
        <v>-2.4999827146530151E-3</v>
      </c>
      <c r="AK60" s="294">
        <f>AK59-[51]REP_Zagolovok!$D$89</f>
        <v>-1.0000020265579224E-3</v>
      </c>
      <c r="AM60" s="294">
        <f>AM59-[52]REP_Zagolovok!$D$89</f>
        <v>3.4999996423721313E-3</v>
      </c>
      <c r="AO60" s="294">
        <f>AO59-[53]REP_Zagolovok!$D$89</f>
        <v>1.0000020265579224E-3</v>
      </c>
      <c r="AQ60" s="294">
        <f>AQ59-[54]REP_Zagolovok!$D$89</f>
        <v>2.5000125169754028E-3</v>
      </c>
      <c r="AS60" s="294">
        <f>AS59-[55]REP_Zagolovok!$D$89</f>
        <v>-2.0000338554382324E-3</v>
      </c>
      <c r="AU60" s="294">
        <f>AU59-[56]REP_Zagolovok!$D$89</f>
        <v>-5.0000846385955811E-4</v>
      </c>
    </row>
    <row r="61" spans="1:49">
      <c r="E61" s="294">
        <f>E59-[57]REP_Zagolovok!$D$88</f>
        <v>-1.0000020265579224E-3</v>
      </c>
      <c r="G61" s="294">
        <f>G59-[58]REP_Zagolovok!$D$88</f>
        <v>2.499997615814209E-3</v>
      </c>
      <c r="I61" s="294">
        <f>I59-[58]REP_Zagolovok!$D$88</f>
        <v>361133.57249999046</v>
      </c>
      <c r="K61" s="294">
        <f>K59-[58]REP_Zagolovok!$D$88</f>
        <v>163979.15250000358</v>
      </c>
      <c r="M61" s="294">
        <f>M59-[58]REP_Zagolovok!$D$88</f>
        <v>363602.46250000596</v>
      </c>
      <c r="O61" s="294">
        <f>O59-[58]REP_Zagolovok!$D$88</f>
        <v>226519.69249999523</v>
      </c>
      <c r="Q61" s="294">
        <f>Q59-[58]REP_Zagolovok!$D$88</f>
        <v>424434.17250001431</v>
      </c>
      <c r="S61" s="294">
        <f>S59-[43]REP_Zagolovok!$D$88</f>
        <v>-2.499997615814209E-3</v>
      </c>
      <c r="U61" s="294">
        <f>U59-[43]REP_Zagolovok!$D$88</f>
        <v>168811.60750000179</v>
      </c>
      <c r="W61" s="294">
        <f>W59-[43]REP_Zagolovok!$D$88</f>
        <v>18609.147499993443</v>
      </c>
      <c r="Y61" s="294">
        <f>Y59-[43]REP_Zagolovok!$D$88</f>
        <v>5107.5275000184774</v>
      </c>
      <c r="AA61" s="294">
        <f>AA59-[43]REP_Zagolovok!$D$88</f>
        <v>194073.23750001192</v>
      </c>
      <c r="AC61" s="294">
        <f>AC59-[43]REP_Zagolovok!$D$88</f>
        <v>367318.75750002265</v>
      </c>
      <c r="AE61" s="294">
        <f>AE59-[43]REP_Zagolovok!$D$88</f>
        <v>145339.88750000298</v>
      </c>
      <c r="AG61" s="294">
        <f>AG59-[43]REP_Zagolovok!$D$88</f>
        <v>182638.69750000536</v>
      </c>
      <c r="AI61" s="294">
        <f>AI59-[43]REP_Zagolovok!$D$88</f>
        <v>115343.10750001669</v>
      </c>
      <c r="AK61" s="294">
        <f>AK59-[43]REP_Zagolovok!$D$88</f>
        <v>369891.89750000834</v>
      </c>
      <c r="AM61" s="294">
        <f>AM59-[43]REP_Zagolovok!$D$88</f>
        <v>463237.00750000775</v>
      </c>
      <c r="AO61" s="294">
        <f>AO59-[43]REP_Zagolovok!$D$88</f>
        <v>328820.37749999762</v>
      </c>
      <c r="AQ61" s="294">
        <f>AQ59-[43]REP_Zagolovok!$D$88</f>
        <v>655214.11750000715</v>
      </c>
      <c r="AS61" s="294">
        <f>AS59-[43]REP_Zagolovok!$D$88</f>
        <v>492739.59749999642</v>
      </c>
      <c r="AU61" s="294">
        <f>AU59-[43]REP_Zagolovok!$D$88</f>
        <v>504106.29750001431</v>
      </c>
    </row>
    <row r="72" spans="1:48">
      <c r="A72" s="156" t="s">
        <v>65</v>
      </c>
      <c r="B72" s="156" t="s">
        <v>65</v>
      </c>
      <c r="C72" s="156"/>
      <c r="D72" s="333"/>
      <c r="E72" s="156"/>
      <c r="F72" s="333"/>
      <c r="G72" s="156"/>
      <c r="H72" s="333"/>
      <c r="I72" s="156"/>
      <c r="J72" s="333"/>
      <c r="K72" s="156"/>
      <c r="L72" s="333"/>
      <c r="M72" s="156"/>
      <c r="N72" s="333"/>
      <c r="O72" s="156"/>
      <c r="P72" s="333"/>
      <c r="Q72" s="156"/>
      <c r="R72" s="333"/>
      <c r="S72" s="156"/>
      <c r="T72" s="333"/>
      <c r="U72" s="156"/>
      <c r="V72" s="333"/>
      <c r="W72" s="156"/>
      <c r="X72" s="333"/>
      <c r="Y72" s="156"/>
      <c r="Z72" s="333"/>
      <c r="AA72" s="156"/>
      <c r="AB72" s="333"/>
      <c r="AC72" s="156"/>
      <c r="AD72" s="333"/>
      <c r="AE72" s="156"/>
      <c r="AF72" s="333"/>
      <c r="AG72" s="156"/>
      <c r="AH72" s="333"/>
      <c r="AI72" s="156"/>
      <c r="AJ72" s="333"/>
      <c r="AK72" s="156"/>
      <c r="AL72" s="333"/>
      <c r="AM72" s="156"/>
      <c r="AN72" s="333"/>
      <c r="AO72" s="156"/>
      <c r="AP72" s="333"/>
      <c r="AQ72" s="156"/>
      <c r="AR72" s="333"/>
      <c r="AS72" s="156"/>
      <c r="AT72" s="333"/>
      <c r="AU72" s="156"/>
      <c r="AV72" s="333"/>
    </row>
  </sheetData>
  <mergeCells count="32">
    <mergeCell ref="Y1:Z1"/>
    <mergeCell ref="O1:P1"/>
    <mergeCell ref="AA1:AB1"/>
    <mergeCell ref="AE1:AF1"/>
    <mergeCell ref="A53:B53"/>
    <mergeCell ref="C1:D1"/>
    <mergeCell ref="A9:B9"/>
    <mergeCell ref="A16:B16"/>
    <mergeCell ref="A18:B18"/>
    <mergeCell ref="A22:B22"/>
    <mergeCell ref="Q1:R1"/>
    <mergeCell ref="A30:B30"/>
    <mergeCell ref="S1:T1"/>
    <mergeCell ref="U1:V1"/>
    <mergeCell ref="K1:L1"/>
    <mergeCell ref="M1:N1"/>
    <mergeCell ref="AQ1:AR1"/>
    <mergeCell ref="AK1:AL1"/>
    <mergeCell ref="A52:B52"/>
    <mergeCell ref="A31:B31"/>
    <mergeCell ref="AU1:AV1"/>
    <mergeCell ref="W1:X1"/>
    <mergeCell ref="AM1:AN1"/>
    <mergeCell ref="AO1:AP1"/>
    <mergeCell ref="AG1:AH1"/>
    <mergeCell ref="AC1:AD1"/>
    <mergeCell ref="AI1:AJ1"/>
    <mergeCell ref="AS1:AT1"/>
    <mergeCell ref="I1:J1"/>
    <mergeCell ref="E1:F1"/>
    <mergeCell ref="G1:H1"/>
    <mergeCell ref="A32:B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T72"/>
  <sheetViews>
    <sheetView topLeftCell="AK55" zoomScale="130" zoomScaleNormal="130" workbookViewId="0">
      <selection activeCell="AU55" sqref="AU1:AV1048576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17" customWidth="1"/>
    <col min="4" max="4" width="12.5703125" style="417" customWidth="1"/>
    <col min="5" max="5" width="23.140625" style="417" customWidth="1"/>
    <col min="6" max="6" width="12.5703125" style="417" customWidth="1"/>
    <col min="7" max="7" width="23.140625" style="417" customWidth="1"/>
    <col min="8" max="8" width="12.5703125" style="417" customWidth="1"/>
    <col min="9" max="9" width="23.140625" style="417" customWidth="1"/>
    <col min="10" max="10" width="12.5703125" style="417" customWidth="1"/>
    <col min="11" max="11" width="23.140625" style="417" customWidth="1"/>
    <col min="12" max="12" width="12.5703125" style="417" customWidth="1"/>
    <col min="13" max="13" width="23.140625" style="417" customWidth="1"/>
    <col min="14" max="14" width="12.5703125" style="417" customWidth="1"/>
    <col min="15" max="15" width="23.140625" style="417" customWidth="1"/>
    <col min="16" max="16" width="12.5703125" style="417" customWidth="1"/>
    <col min="17" max="17" width="23.140625" style="417" customWidth="1"/>
    <col min="18" max="18" width="12.5703125" style="417" customWidth="1"/>
    <col min="19" max="19" width="23.140625" style="417" customWidth="1"/>
    <col min="20" max="20" width="12.5703125" style="417" customWidth="1"/>
    <col min="21" max="21" width="23.140625" style="417" customWidth="1"/>
    <col min="22" max="22" width="12.5703125" style="417" customWidth="1"/>
    <col min="23" max="23" width="23.140625" style="417" customWidth="1"/>
    <col min="24" max="24" width="12.5703125" style="417" customWidth="1"/>
    <col min="25" max="25" width="23.140625" style="417" customWidth="1"/>
    <col min="26" max="26" width="12.5703125" style="417" customWidth="1"/>
    <col min="27" max="27" width="23.140625" style="417" customWidth="1"/>
    <col min="28" max="28" width="12.5703125" style="417" customWidth="1"/>
    <col min="29" max="29" width="23.140625" style="417" customWidth="1"/>
    <col min="30" max="30" width="12.5703125" style="417" customWidth="1"/>
    <col min="31" max="31" width="23.140625" style="417" customWidth="1"/>
    <col min="32" max="32" width="12.5703125" style="417" customWidth="1"/>
    <col min="33" max="33" width="23.140625" style="417" customWidth="1"/>
    <col min="34" max="34" width="12.5703125" style="417" customWidth="1"/>
    <col min="35" max="35" width="23.140625" style="417" customWidth="1"/>
    <col min="36" max="36" width="12.5703125" style="417" customWidth="1"/>
    <col min="37" max="37" width="23.140625" style="417" customWidth="1"/>
    <col min="38" max="38" width="12.5703125" style="417" customWidth="1"/>
    <col min="39" max="39" width="23.140625" style="417" customWidth="1"/>
    <col min="40" max="40" width="12.5703125" style="417" customWidth="1"/>
    <col min="41" max="41" width="23.140625" style="417" customWidth="1"/>
    <col min="42" max="42" width="12.5703125" style="417" customWidth="1"/>
    <col min="43" max="43" width="23.140625" style="417" customWidth="1"/>
    <col min="44" max="44" width="12.5703125" style="417" customWidth="1"/>
    <col min="45" max="45" width="23.140625" style="417" customWidth="1"/>
    <col min="46" max="46" width="12.5703125" style="417" customWidth="1"/>
  </cols>
  <sheetData>
    <row r="1" spans="1:46">
      <c r="C1" s="1035">
        <v>1</v>
      </c>
      <c r="D1" s="1036"/>
      <c r="E1" s="1035">
        <v>3</v>
      </c>
      <c r="F1" s="1036"/>
      <c r="G1" s="1035">
        <v>6</v>
      </c>
      <c r="H1" s="1036"/>
      <c r="I1" s="1035">
        <v>7</v>
      </c>
      <c r="J1" s="1036"/>
      <c r="K1" s="1035">
        <v>8</v>
      </c>
      <c r="L1" s="1036"/>
      <c r="M1" s="1035">
        <v>9</v>
      </c>
      <c r="N1" s="1036"/>
      <c r="O1" s="1035">
        <v>10</v>
      </c>
      <c r="P1" s="1036"/>
      <c r="Q1" s="1035">
        <v>13</v>
      </c>
      <c r="R1" s="1036"/>
      <c r="S1" s="1035">
        <v>14</v>
      </c>
      <c r="T1" s="1036"/>
      <c r="U1" s="1035">
        <v>15</v>
      </c>
      <c r="V1" s="1036"/>
      <c r="W1" s="1035">
        <v>16</v>
      </c>
      <c r="X1" s="1036"/>
      <c r="Y1" s="1035">
        <v>17</v>
      </c>
      <c r="Z1" s="1036"/>
      <c r="AA1" s="1035">
        <v>20</v>
      </c>
      <c r="AB1" s="1036"/>
      <c r="AC1" s="1035">
        <v>21</v>
      </c>
      <c r="AD1" s="1036"/>
      <c r="AE1" s="1035">
        <v>22</v>
      </c>
      <c r="AF1" s="1036"/>
      <c r="AG1" s="1035">
        <v>23</v>
      </c>
      <c r="AH1" s="1036"/>
      <c r="AI1" s="1035">
        <v>24</v>
      </c>
      <c r="AJ1" s="1036"/>
      <c r="AK1" s="1035">
        <v>27</v>
      </c>
      <c r="AL1" s="1036"/>
      <c r="AM1" s="1035">
        <v>28</v>
      </c>
      <c r="AN1" s="1036"/>
      <c r="AO1" s="1035">
        <v>29</v>
      </c>
      <c r="AP1" s="1036"/>
      <c r="AQ1" s="1035">
        <v>30</v>
      </c>
      <c r="AR1" s="1036"/>
      <c r="AS1" s="1035">
        <v>31</v>
      </c>
      <c r="AT1" s="1036"/>
    </row>
    <row r="2" spans="1:46">
      <c r="A2" s="418" t="s">
        <v>102</v>
      </c>
      <c r="B2" s="58" t="s">
        <v>15</v>
      </c>
      <c r="C2" s="465">
        <v>8084112.5499999998</v>
      </c>
      <c r="D2" s="466">
        <v>7.85</v>
      </c>
      <c r="E2" s="465">
        <v>8090258.7000000002</v>
      </c>
      <c r="F2" s="466">
        <v>7.88</v>
      </c>
      <c r="G2" s="465">
        <v>8099440.9000000004</v>
      </c>
      <c r="H2" s="466">
        <v>7.89</v>
      </c>
      <c r="I2" s="465">
        <v>8102254.7999999998</v>
      </c>
      <c r="J2" s="466">
        <v>7.9</v>
      </c>
      <c r="K2" s="465">
        <v>8105364.9000000004</v>
      </c>
      <c r="L2" s="466">
        <v>7.89</v>
      </c>
      <c r="M2" s="465">
        <v>8108475</v>
      </c>
      <c r="N2" s="466">
        <v>7.9</v>
      </c>
      <c r="O2" s="465">
        <v>8111511.0499999998</v>
      </c>
      <c r="P2" s="466">
        <v>7.8999999999999995</v>
      </c>
      <c r="Q2" s="465">
        <v>8120841.3499999996</v>
      </c>
      <c r="R2" s="466">
        <v>7.9</v>
      </c>
      <c r="S2" s="465">
        <v>8123951.4500000002</v>
      </c>
      <c r="T2" s="466">
        <v>7.9</v>
      </c>
      <c r="U2" s="494"/>
      <c r="V2" s="495"/>
      <c r="W2" s="494">
        <v>6159705.5599999996</v>
      </c>
      <c r="X2" s="495">
        <v>5.99</v>
      </c>
      <c r="Y2" s="484">
        <v>6163911.7199999997</v>
      </c>
      <c r="Z2" s="485">
        <v>6</v>
      </c>
      <c r="AA2" s="465">
        <v>6171780</v>
      </c>
      <c r="AB2" s="466">
        <v>5.99</v>
      </c>
      <c r="AC2" s="465">
        <v>6174390</v>
      </c>
      <c r="AD2" s="466">
        <v>6</v>
      </c>
      <c r="AE2" s="484">
        <v>6175565.6600000001</v>
      </c>
      <c r="AF2" s="485">
        <v>5.99</v>
      </c>
      <c r="AG2" s="484">
        <v>6177373.5199999996</v>
      </c>
      <c r="AH2" s="485">
        <v>5.99</v>
      </c>
      <c r="AI2" s="484">
        <v>6175605.6799999997</v>
      </c>
      <c r="AJ2" s="485">
        <v>5.99</v>
      </c>
      <c r="AK2" s="465">
        <v>6188600</v>
      </c>
      <c r="AL2" s="466">
        <v>5.99</v>
      </c>
      <c r="AM2" s="465">
        <v>6191268</v>
      </c>
      <c r="AN2" s="466">
        <v>5.98</v>
      </c>
      <c r="AO2" s="465">
        <v>6193588</v>
      </c>
      <c r="AP2" s="466">
        <v>6.01</v>
      </c>
      <c r="AQ2" s="484">
        <v>6188428.9000000004</v>
      </c>
      <c r="AR2" s="485">
        <v>5.99</v>
      </c>
      <c r="AS2" s="205">
        <v>6196869.0599999996</v>
      </c>
      <c r="AT2" s="507">
        <v>5.98</v>
      </c>
    </row>
    <row r="3" spans="1:46">
      <c r="A3" s="418" t="s">
        <v>66</v>
      </c>
      <c r="B3" s="58" t="s">
        <v>15</v>
      </c>
      <c r="C3" s="465">
        <v>6127294</v>
      </c>
      <c r="D3" s="466">
        <v>5.95</v>
      </c>
      <c r="E3" s="484">
        <v>6131567.4400000004</v>
      </c>
      <c r="F3" s="485">
        <v>5.9799999999999995</v>
      </c>
      <c r="G3" s="465">
        <v>6139068</v>
      </c>
      <c r="H3" s="466">
        <v>5.98</v>
      </c>
      <c r="I3" s="484">
        <v>6140885.1399999997</v>
      </c>
      <c r="J3" s="485">
        <v>5.99</v>
      </c>
      <c r="K3" s="484">
        <v>6140616.0199999996</v>
      </c>
      <c r="L3" s="485">
        <v>5.98</v>
      </c>
      <c r="M3" s="465">
        <v>6144868</v>
      </c>
      <c r="N3" s="466">
        <v>5.99</v>
      </c>
      <c r="O3" s="465">
        <v>6147246</v>
      </c>
      <c r="P3" s="466">
        <v>5.98</v>
      </c>
      <c r="Q3" s="465">
        <v>6154438</v>
      </c>
      <c r="R3" s="466">
        <v>5.99</v>
      </c>
      <c r="S3" s="465">
        <v>6157570</v>
      </c>
      <c r="T3" s="466">
        <v>5.99</v>
      </c>
      <c r="U3" s="484">
        <v>6162696.6200000001</v>
      </c>
      <c r="V3" s="485">
        <v>6</v>
      </c>
      <c r="W3" s="484">
        <v>4764127.3899999997</v>
      </c>
      <c r="X3" s="485">
        <v>4.63</v>
      </c>
      <c r="Y3" s="465">
        <v>4743428.4000000004</v>
      </c>
      <c r="Z3" s="466">
        <v>4.62</v>
      </c>
      <c r="AA3" s="465">
        <v>4749185.04</v>
      </c>
      <c r="AB3" s="466">
        <v>4.6100000000000003</v>
      </c>
      <c r="AC3" s="465">
        <v>4751977.4400000004</v>
      </c>
      <c r="AD3" s="466">
        <v>4.6100000000000003</v>
      </c>
      <c r="AE3" s="465">
        <v>4364048.6399999997</v>
      </c>
      <c r="AF3" s="466">
        <v>4.24</v>
      </c>
      <c r="AG3" s="465">
        <v>4365810</v>
      </c>
      <c r="AH3" s="466">
        <v>4.24</v>
      </c>
      <c r="AI3" s="465">
        <v>4367571.3600000003</v>
      </c>
      <c r="AJ3" s="466">
        <v>4.2300000000000004</v>
      </c>
      <c r="AK3" s="465">
        <v>4372855.4400000004</v>
      </c>
      <c r="AL3" s="466">
        <v>4.24</v>
      </c>
      <c r="AM3" s="465">
        <v>4375218.24</v>
      </c>
      <c r="AN3" s="466">
        <v>4.2300000000000004</v>
      </c>
      <c r="AO3" s="465">
        <v>4376979.5999999996</v>
      </c>
      <c r="AP3" s="466">
        <v>4.24</v>
      </c>
      <c r="AQ3" s="465">
        <v>4378740.96</v>
      </c>
      <c r="AR3" s="466">
        <v>4.24</v>
      </c>
      <c r="AS3" s="200">
        <v>4392101.5199999996</v>
      </c>
      <c r="AT3" s="504">
        <v>4.24</v>
      </c>
    </row>
    <row r="4" spans="1:46">
      <c r="A4" s="418" t="s">
        <v>123</v>
      </c>
      <c r="B4" s="58" t="s">
        <v>15</v>
      </c>
      <c r="C4" s="465">
        <v>4715246.6399999997</v>
      </c>
      <c r="D4" s="466">
        <v>4.58</v>
      </c>
      <c r="E4" s="484">
        <v>4741564.3600000003</v>
      </c>
      <c r="F4" s="485">
        <v>4.62</v>
      </c>
      <c r="G4" s="465">
        <v>4724697.84</v>
      </c>
      <c r="H4" s="466">
        <v>4.5999999999999996</v>
      </c>
      <c r="I4" s="465">
        <v>4721046.24</v>
      </c>
      <c r="J4" s="466">
        <v>4.5999999999999996</v>
      </c>
      <c r="K4" s="465">
        <v>4722979.4400000004</v>
      </c>
      <c r="L4" s="466">
        <v>4.5999999999999996</v>
      </c>
      <c r="M4" s="465">
        <v>4724869.68</v>
      </c>
      <c r="N4" s="466">
        <v>4.5999999999999996</v>
      </c>
      <c r="O4" s="465">
        <v>4726802.88</v>
      </c>
      <c r="P4" s="466">
        <v>4.5999999999999996</v>
      </c>
      <c r="Q4" s="465">
        <v>4732602.4800000004</v>
      </c>
      <c r="R4" s="466">
        <v>4.6100000000000003</v>
      </c>
      <c r="S4" s="465">
        <v>4737714.72</v>
      </c>
      <c r="T4" s="466">
        <v>4.6100000000000003</v>
      </c>
      <c r="U4" s="465">
        <v>4739604.96</v>
      </c>
      <c r="V4" s="466">
        <v>4.6100000000000003</v>
      </c>
      <c r="W4" s="465">
        <v>9945879.8100000005</v>
      </c>
      <c r="X4" s="466">
        <v>9.67</v>
      </c>
      <c r="Y4" s="484">
        <v>9949691.2799999993</v>
      </c>
      <c r="Z4" s="485">
        <v>9.68</v>
      </c>
      <c r="AA4" s="484">
        <v>9961126.6300000008</v>
      </c>
      <c r="AB4" s="485">
        <v>9.67</v>
      </c>
      <c r="AC4" s="484">
        <v>9965031.2899999991</v>
      </c>
      <c r="AD4" s="485">
        <v>9.67</v>
      </c>
      <c r="AE4" s="484">
        <v>9968842.7599999998</v>
      </c>
      <c r="AF4" s="485">
        <v>9.67</v>
      </c>
      <c r="AG4" s="465">
        <v>9939831.7799999993</v>
      </c>
      <c r="AH4" s="466">
        <v>9.64</v>
      </c>
      <c r="AI4" s="500">
        <v>9976455.4499999993</v>
      </c>
      <c r="AJ4" s="488">
        <v>9.67</v>
      </c>
      <c r="AK4" s="484">
        <v>9987900.1099999994</v>
      </c>
      <c r="AL4" s="485">
        <v>9.67</v>
      </c>
      <c r="AM4" s="484">
        <v>9991738.6099999994</v>
      </c>
      <c r="AN4" s="485">
        <v>9.66</v>
      </c>
      <c r="AO4" s="465">
        <v>9966856.8800000008</v>
      </c>
      <c r="AP4" s="466">
        <v>9.67</v>
      </c>
      <c r="AQ4" s="484">
        <v>9987779.9000000004</v>
      </c>
      <c r="AR4" s="485">
        <v>9.67</v>
      </c>
      <c r="AS4" s="205">
        <v>9991684.5600000005</v>
      </c>
      <c r="AT4" s="508">
        <v>9.6300000000000008</v>
      </c>
    </row>
    <row r="5" spans="1:46">
      <c r="A5" s="418" t="s">
        <v>115</v>
      </c>
      <c r="B5" s="58" t="s">
        <v>15</v>
      </c>
      <c r="C5" s="467">
        <v>9855401.6400000006</v>
      </c>
      <c r="D5" s="466">
        <v>9.56</v>
      </c>
      <c r="E5" s="486">
        <v>9896516.1400000006</v>
      </c>
      <c r="F5" s="485">
        <v>9.64</v>
      </c>
      <c r="G5" s="487">
        <v>9907867.6099999994</v>
      </c>
      <c r="H5" s="488">
        <v>9.65</v>
      </c>
      <c r="I5" s="467">
        <v>9861645.3699999992</v>
      </c>
      <c r="J5" s="466">
        <v>9.61</v>
      </c>
      <c r="K5" s="467">
        <v>9915480.3000000007</v>
      </c>
      <c r="L5" s="466">
        <v>9.65</v>
      </c>
      <c r="M5" s="467">
        <v>9869846.0899999999</v>
      </c>
      <c r="N5" s="466">
        <v>9.61</v>
      </c>
      <c r="O5" s="467">
        <v>9873946.4499999993</v>
      </c>
      <c r="P5" s="466">
        <v>9.61</v>
      </c>
      <c r="Q5" s="467">
        <v>9886247.5299999993</v>
      </c>
      <c r="R5" s="466">
        <v>9.6199999999999992</v>
      </c>
      <c r="S5" s="467">
        <v>9899480.5099999998</v>
      </c>
      <c r="T5" s="466">
        <v>9.6300000000000008</v>
      </c>
      <c r="U5" s="486">
        <v>9942068.3399999999</v>
      </c>
      <c r="V5" s="485">
        <v>9.67</v>
      </c>
      <c r="W5" s="486">
        <v>8638143.5399999991</v>
      </c>
      <c r="X5" s="485">
        <v>8.39</v>
      </c>
      <c r="Y5" s="486">
        <v>8641446.8399999999</v>
      </c>
      <c r="Z5" s="485">
        <v>8.41</v>
      </c>
      <c r="AA5" s="486">
        <v>8651669.5199999996</v>
      </c>
      <c r="AB5" s="485">
        <v>8.4</v>
      </c>
      <c r="AC5" s="467">
        <v>8628204</v>
      </c>
      <c r="AD5" s="466">
        <v>8.3800000000000008</v>
      </c>
      <c r="AE5" s="486">
        <v>8658432.1199999992</v>
      </c>
      <c r="AF5" s="485">
        <v>8.4</v>
      </c>
      <c r="AG5" s="467">
        <v>8635380</v>
      </c>
      <c r="AH5" s="466">
        <v>8.3699999999999992</v>
      </c>
      <c r="AI5" s="467">
        <v>8638968</v>
      </c>
      <c r="AJ5" s="466">
        <v>8.3699999999999992</v>
      </c>
      <c r="AK5" s="467">
        <v>8649810</v>
      </c>
      <c r="AL5" s="466">
        <v>8.3800000000000008</v>
      </c>
      <c r="AM5" s="467">
        <v>8658546</v>
      </c>
      <c r="AN5" s="466">
        <v>8.3699999999999992</v>
      </c>
      <c r="AO5" s="467">
        <v>7975734</v>
      </c>
      <c r="AP5" s="466">
        <v>7.74</v>
      </c>
      <c r="AQ5" s="467">
        <v>7979010</v>
      </c>
      <c r="AR5" s="466">
        <v>7.72</v>
      </c>
      <c r="AS5" s="200">
        <v>8006310</v>
      </c>
      <c r="AT5" s="505">
        <v>7.72</v>
      </c>
    </row>
    <row r="6" spans="1:46">
      <c r="A6" s="418" t="s">
        <v>118</v>
      </c>
      <c r="B6" s="58" t="s">
        <v>15</v>
      </c>
      <c r="C6" s="465">
        <v>8563308</v>
      </c>
      <c r="D6" s="466">
        <v>8.31</v>
      </c>
      <c r="E6" s="484">
        <v>8594107.0800000001</v>
      </c>
      <c r="F6" s="485">
        <v>8.379999999999999</v>
      </c>
      <c r="G6" s="465">
        <v>8581092</v>
      </c>
      <c r="H6" s="466">
        <v>8.36</v>
      </c>
      <c r="I6" s="465">
        <v>8564478</v>
      </c>
      <c r="J6" s="466">
        <v>8.35</v>
      </c>
      <c r="K6" s="465">
        <v>8611014.3599999994</v>
      </c>
      <c r="L6" s="466">
        <v>8.3800000000000008</v>
      </c>
      <c r="M6" s="484">
        <v>8614395.6600000001</v>
      </c>
      <c r="N6" s="485">
        <v>8.39</v>
      </c>
      <c r="O6" s="484">
        <v>8617776.9600000009</v>
      </c>
      <c r="P6" s="485">
        <v>8.39</v>
      </c>
      <c r="Q6" s="484">
        <v>8627920.8599999994</v>
      </c>
      <c r="R6" s="485">
        <v>8.4</v>
      </c>
      <c r="S6" s="484">
        <v>8631302.9399999995</v>
      </c>
      <c r="T6" s="485">
        <v>8.4</v>
      </c>
      <c r="U6" s="465">
        <v>8600982</v>
      </c>
      <c r="V6" s="466">
        <v>8.3699999999999992</v>
      </c>
      <c r="W6" s="465">
        <v>7854174.4000000004</v>
      </c>
      <c r="X6" s="466">
        <v>7.63</v>
      </c>
      <c r="Y6" s="465">
        <v>7857502.4400000004</v>
      </c>
      <c r="Z6" s="466">
        <v>7.65</v>
      </c>
      <c r="AA6" s="465">
        <v>7867661.7199999997</v>
      </c>
      <c r="AB6" s="466">
        <v>7.64</v>
      </c>
      <c r="AC6" s="484">
        <v>7809005.8899999997</v>
      </c>
      <c r="AD6" s="485">
        <v>7.58</v>
      </c>
      <c r="AE6" s="484">
        <v>7812324.29</v>
      </c>
      <c r="AF6" s="485">
        <v>7.58</v>
      </c>
      <c r="AG6" s="465">
        <v>7908298.8399999999</v>
      </c>
      <c r="AH6" s="466">
        <v>7.67</v>
      </c>
      <c r="AI6" s="465">
        <v>7911539.2999999998</v>
      </c>
      <c r="AJ6" s="466">
        <v>7.67</v>
      </c>
      <c r="AK6" s="465">
        <v>7921611</v>
      </c>
      <c r="AL6" s="466">
        <v>7.67</v>
      </c>
      <c r="AM6" s="465">
        <v>7982128.7800000003</v>
      </c>
      <c r="AN6" s="466">
        <v>7.71</v>
      </c>
      <c r="AO6" s="484">
        <v>7801225.2800000003</v>
      </c>
      <c r="AP6" s="485">
        <v>7.5600000000000005</v>
      </c>
      <c r="AQ6" s="484">
        <v>7804632.1500000004</v>
      </c>
      <c r="AR6" s="485">
        <v>7.55</v>
      </c>
      <c r="AS6" s="200">
        <v>7977574.6200000001</v>
      </c>
      <c r="AT6" s="506">
        <v>7.69</v>
      </c>
    </row>
    <row r="7" spans="1:46">
      <c r="A7" s="477" t="s">
        <v>124</v>
      </c>
      <c r="B7" s="58" t="s">
        <v>15</v>
      </c>
      <c r="C7" s="468">
        <v>7854086.8200000003</v>
      </c>
      <c r="D7" s="469">
        <v>7.62</v>
      </c>
      <c r="E7" s="468">
        <v>7860655.3200000003</v>
      </c>
      <c r="F7" s="469">
        <v>7.66</v>
      </c>
      <c r="G7" s="468">
        <v>7870464.2800000003</v>
      </c>
      <c r="H7" s="469">
        <v>7.66</v>
      </c>
      <c r="I7" s="468">
        <v>7852685.54</v>
      </c>
      <c r="J7" s="469">
        <v>7.65</v>
      </c>
      <c r="K7" s="468">
        <v>7855926</v>
      </c>
      <c r="L7" s="469">
        <v>7.65</v>
      </c>
      <c r="M7" s="468">
        <v>7859166.46</v>
      </c>
      <c r="N7" s="469">
        <v>7.66</v>
      </c>
      <c r="O7" s="468">
        <v>7862406.9199999999</v>
      </c>
      <c r="P7" s="469">
        <v>7.65</v>
      </c>
      <c r="Q7" s="490">
        <v>7782191.5199999996</v>
      </c>
      <c r="R7" s="491">
        <v>7.57</v>
      </c>
      <c r="S7" s="468">
        <v>7847430.7400000002</v>
      </c>
      <c r="T7" s="469">
        <v>7.63</v>
      </c>
      <c r="U7" s="468">
        <v>7850758.7800000003</v>
      </c>
      <c r="V7" s="469">
        <v>7.64</v>
      </c>
      <c r="W7" s="468">
        <v>8313295.6100000003</v>
      </c>
      <c r="X7" s="469">
        <v>8.08</v>
      </c>
      <c r="Y7" s="490">
        <v>8211730.0499999998</v>
      </c>
      <c r="Z7" s="491">
        <v>7.99</v>
      </c>
      <c r="AA7" s="468">
        <v>8357173</v>
      </c>
      <c r="AB7" s="469">
        <v>8.11</v>
      </c>
      <c r="AC7" s="468">
        <v>8393355</v>
      </c>
      <c r="AD7" s="469">
        <v>8.15</v>
      </c>
      <c r="AE7" s="468">
        <v>8396831</v>
      </c>
      <c r="AF7" s="469">
        <v>8.15</v>
      </c>
      <c r="AG7" s="468">
        <v>8400386</v>
      </c>
      <c r="AH7" s="469">
        <v>8.15</v>
      </c>
      <c r="AI7" s="468">
        <v>8403862</v>
      </c>
      <c r="AJ7" s="469">
        <v>8.15</v>
      </c>
      <c r="AK7" s="468">
        <v>8414448</v>
      </c>
      <c r="AL7" s="469">
        <v>8.15</v>
      </c>
      <c r="AM7" s="468">
        <v>8480176</v>
      </c>
      <c r="AN7" s="469">
        <v>8.1999999999999993</v>
      </c>
      <c r="AO7" s="490">
        <v>8315327.4900000002</v>
      </c>
      <c r="AP7" s="491">
        <v>8.06</v>
      </c>
      <c r="AQ7" s="468">
        <v>8486891</v>
      </c>
      <c r="AR7" s="469">
        <v>8.2100000000000009</v>
      </c>
      <c r="AS7" s="200">
        <v>8475041</v>
      </c>
      <c r="AT7" s="506">
        <v>8.17</v>
      </c>
    </row>
    <row r="8" spans="1:46">
      <c r="A8" s="418" t="s">
        <v>119</v>
      </c>
      <c r="B8" s="58" t="s">
        <v>15</v>
      </c>
      <c r="C8" s="468">
        <v>5449405.5</v>
      </c>
      <c r="D8" s="469">
        <v>5.29</v>
      </c>
      <c r="E8" s="468">
        <v>5453860.5</v>
      </c>
      <c r="F8" s="469">
        <v>5.31</v>
      </c>
      <c r="G8" s="468">
        <v>5460592.5</v>
      </c>
      <c r="H8" s="469">
        <v>5.32</v>
      </c>
      <c r="I8" s="468">
        <v>5451039</v>
      </c>
      <c r="J8" s="469">
        <v>5.31</v>
      </c>
      <c r="K8" s="468">
        <v>5453266.5</v>
      </c>
      <c r="L8" s="469">
        <v>5.31</v>
      </c>
      <c r="M8" s="490">
        <v>5399772.3399999999</v>
      </c>
      <c r="N8" s="491">
        <v>5.26</v>
      </c>
      <c r="O8" s="468">
        <v>5457672</v>
      </c>
      <c r="P8" s="469">
        <v>5.31</v>
      </c>
      <c r="Q8" s="468">
        <v>5464354.5</v>
      </c>
      <c r="R8" s="469">
        <v>5.32</v>
      </c>
      <c r="S8" s="490">
        <v>5416175.6600000001</v>
      </c>
      <c r="T8" s="491">
        <v>5.27</v>
      </c>
      <c r="U8" s="490">
        <v>5418456.6200000001</v>
      </c>
      <c r="V8" s="491">
        <v>5.27</v>
      </c>
      <c r="W8" s="490">
        <v>5447920.5</v>
      </c>
      <c r="X8" s="491">
        <v>5.3</v>
      </c>
      <c r="Y8" s="490">
        <v>5423117.04</v>
      </c>
      <c r="Z8" s="491">
        <v>5.28</v>
      </c>
      <c r="AA8" s="468">
        <v>5457177</v>
      </c>
      <c r="AB8" s="469">
        <v>5.3</v>
      </c>
      <c r="AC8" s="468">
        <v>5481679.5</v>
      </c>
      <c r="AD8" s="469">
        <v>5.32</v>
      </c>
      <c r="AE8" s="468">
        <v>5483956.5</v>
      </c>
      <c r="AF8" s="469">
        <v>5.32</v>
      </c>
      <c r="AG8" s="468">
        <v>5486233.5</v>
      </c>
      <c r="AH8" s="469">
        <v>5.32</v>
      </c>
      <c r="AI8" s="468">
        <v>5488510.5</v>
      </c>
      <c r="AJ8" s="469">
        <v>5.32</v>
      </c>
      <c r="AK8" s="468">
        <v>5495341.5</v>
      </c>
      <c r="AL8" s="469">
        <v>5.32</v>
      </c>
      <c r="AM8" s="468">
        <v>5541327</v>
      </c>
      <c r="AN8" s="469">
        <v>5.36</v>
      </c>
      <c r="AO8" s="468">
        <v>5543505</v>
      </c>
      <c r="AP8" s="469">
        <v>5.38</v>
      </c>
      <c r="AQ8" s="468">
        <v>5545633.5</v>
      </c>
      <c r="AR8" s="469">
        <v>5.37</v>
      </c>
      <c r="AS8" s="200">
        <v>5535288</v>
      </c>
      <c r="AT8" s="506">
        <v>5.34</v>
      </c>
    </row>
    <row r="9" spans="1:46" ht="16.5" thickBot="1">
      <c r="A9" s="1020" t="s">
        <v>113</v>
      </c>
      <c r="B9" s="1048"/>
      <c r="C9" s="444">
        <f t="shared" ref="C9:AT9" si="0">SUM(C2:C8)</f>
        <v>50648855.149999999</v>
      </c>
      <c r="D9" s="444">
        <f t="shared" si="0"/>
        <v>49.160000000000004</v>
      </c>
      <c r="E9" s="444">
        <f t="shared" si="0"/>
        <v>50768529.539999999</v>
      </c>
      <c r="F9" s="444">
        <f t="shared" si="0"/>
        <v>49.47</v>
      </c>
      <c r="G9" s="444">
        <f t="shared" si="0"/>
        <v>50783223.130000003</v>
      </c>
      <c r="H9" s="444">
        <f t="shared" si="0"/>
        <v>49.46</v>
      </c>
      <c r="I9" s="444">
        <f t="shared" si="0"/>
        <v>50694034.089999996</v>
      </c>
      <c r="J9" s="444">
        <f t="shared" si="0"/>
        <v>49.410000000000004</v>
      </c>
      <c r="K9" s="444">
        <f t="shared" si="0"/>
        <v>50804647.519999996</v>
      </c>
      <c r="L9" s="444">
        <f t="shared" si="0"/>
        <v>49.46</v>
      </c>
      <c r="M9" s="444">
        <f t="shared" si="0"/>
        <v>50721393.230000004</v>
      </c>
      <c r="N9" s="444">
        <f t="shared" si="0"/>
        <v>49.410000000000004</v>
      </c>
      <c r="O9" s="444">
        <f t="shared" si="0"/>
        <v>50797362.260000005</v>
      </c>
      <c r="P9" s="444">
        <f t="shared" si="0"/>
        <v>49.44</v>
      </c>
      <c r="Q9" s="444">
        <f t="shared" si="0"/>
        <v>50768596.239999995</v>
      </c>
      <c r="R9" s="444">
        <f t="shared" si="0"/>
        <v>49.41</v>
      </c>
      <c r="S9" s="444">
        <f t="shared" si="0"/>
        <v>50813626.019999996</v>
      </c>
      <c r="T9" s="444">
        <f t="shared" si="0"/>
        <v>49.430000000000007</v>
      </c>
      <c r="U9" s="444">
        <f t="shared" si="0"/>
        <v>42714567.32</v>
      </c>
      <c r="V9" s="444">
        <f t="shared" si="0"/>
        <v>41.56</v>
      </c>
      <c r="W9" s="444">
        <f t="shared" si="0"/>
        <v>51123246.809999995</v>
      </c>
      <c r="X9" s="444">
        <f t="shared" si="0"/>
        <v>49.69</v>
      </c>
      <c r="Y9" s="444">
        <f t="shared" si="0"/>
        <v>50990827.769999996</v>
      </c>
      <c r="Z9" s="444">
        <f t="shared" si="0"/>
        <v>49.63</v>
      </c>
      <c r="AA9" s="444">
        <f t="shared" si="0"/>
        <v>51215772.910000004</v>
      </c>
      <c r="AB9" s="444">
        <f t="shared" si="0"/>
        <v>49.72</v>
      </c>
      <c r="AC9" s="444">
        <f t="shared" si="0"/>
        <v>51203643.119999997</v>
      </c>
      <c r="AD9" s="444">
        <f t="shared" si="0"/>
        <v>49.71</v>
      </c>
      <c r="AE9" s="444">
        <f t="shared" si="0"/>
        <v>50860000.969999999</v>
      </c>
      <c r="AF9" s="444">
        <f t="shared" si="0"/>
        <v>49.349999999999994</v>
      </c>
      <c r="AG9" s="444">
        <f t="shared" si="0"/>
        <v>50913313.640000001</v>
      </c>
      <c r="AH9" s="444">
        <f t="shared" si="0"/>
        <v>49.38</v>
      </c>
      <c r="AI9" s="444">
        <f t="shared" si="0"/>
        <v>50962512.289999999</v>
      </c>
      <c r="AJ9" s="444">
        <f t="shared" si="0"/>
        <v>49.4</v>
      </c>
      <c r="AK9" s="444">
        <f t="shared" si="0"/>
        <v>51030566.049999997</v>
      </c>
      <c r="AL9" s="444">
        <f t="shared" si="0"/>
        <v>49.42</v>
      </c>
      <c r="AM9" s="444">
        <f t="shared" si="0"/>
        <v>51220402.630000003</v>
      </c>
      <c r="AN9" s="444">
        <f t="shared" si="0"/>
        <v>49.510000000000005</v>
      </c>
      <c r="AO9" s="444">
        <f t="shared" si="0"/>
        <v>50173216.25</v>
      </c>
      <c r="AP9" s="444">
        <f t="shared" si="0"/>
        <v>48.660000000000011</v>
      </c>
      <c r="AQ9" s="444">
        <f t="shared" si="0"/>
        <v>50371116.409999996</v>
      </c>
      <c r="AR9" s="444">
        <f t="shared" si="0"/>
        <v>48.749999999999993</v>
      </c>
      <c r="AS9" s="444">
        <f t="shared" si="0"/>
        <v>50574868.759999998</v>
      </c>
      <c r="AT9" s="444">
        <f t="shared" si="0"/>
        <v>48.769999999999996</v>
      </c>
    </row>
    <row r="10" spans="1:46" ht="15">
      <c r="A10" s="419" t="s">
        <v>25</v>
      </c>
      <c r="B10" s="422" t="s">
        <v>26</v>
      </c>
      <c r="C10" s="452">
        <v>3802411.76</v>
      </c>
      <c r="D10" s="448">
        <v>3.69</v>
      </c>
      <c r="E10" s="452">
        <v>3805074.13</v>
      </c>
      <c r="F10" s="448">
        <v>3.71</v>
      </c>
      <c r="G10" s="452">
        <v>3809071.09</v>
      </c>
      <c r="H10" s="448">
        <v>3.71</v>
      </c>
      <c r="I10" s="452">
        <v>3810404.55</v>
      </c>
      <c r="J10" s="448">
        <v>3.7199999999999998</v>
      </c>
      <c r="K10" s="452">
        <v>3811737.99</v>
      </c>
      <c r="L10" s="448">
        <v>3.71</v>
      </c>
      <c r="M10" s="452">
        <v>3813072.59</v>
      </c>
      <c r="N10" s="448">
        <v>3.7199999999999998</v>
      </c>
      <c r="O10" s="452">
        <v>3814407.18</v>
      </c>
      <c r="P10" s="448">
        <v>3.7199999999999998</v>
      </c>
      <c r="Q10" s="452">
        <v>3818413.98</v>
      </c>
      <c r="R10" s="448">
        <v>3.72</v>
      </c>
      <c r="S10" s="452">
        <v>3819750.46</v>
      </c>
      <c r="T10" s="448">
        <v>3.72</v>
      </c>
      <c r="U10" s="452">
        <v>3821087.7</v>
      </c>
      <c r="V10" s="448">
        <v>3.72</v>
      </c>
      <c r="W10" s="452">
        <v>3822424.94</v>
      </c>
      <c r="X10" s="448">
        <v>3.72</v>
      </c>
      <c r="Y10" s="452">
        <v>3823762.94</v>
      </c>
      <c r="Z10" s="448">
        <v>3.72</v>
      </c>
      <c r="AA10" s="452">
        <v>3827779.96</v>
      </c>
      <c r="AB10" s="448">
        <v>3.72</v>
      </c>
      <c r="AC10" s="452">
        <v>3829119.85</v>
      </c>
      <c r="AD10" s="448">
        <v>3.72</v>
      </c>
      <c r="AE10" s="452">
        <v>3830460.12</v>
      </c>
      <c r="AF10" s="448">
        <v>3.72</v>
      </c>
      <c r="AG10" s="452">
        <v>3831800.77</v>
      </c>
      <c r="AH10" s="448">
        <v>3.72</v>
      </c>
      <c r="AI10" s="452">
        <v>3833142.17</v>
      </c>
      <c r="AJ10" s="448">
        <v>3.72</v>
      </c>
      <c r="AK10" s="452">
        <v>3837168.66</v>
      </c>
      <c r="AL10" s="448">
        <v>3.72</v>
      </c>
      <c r="AM10" s="452">
        <v>3838511.95</v>
      </c>
      <c r="AN10" s="448">
        <v>3.71</v>
      </c>
      <c r="AO10" s="452">
        <v>3839855.25</v>
      </c>
      <c r="AP10" s="448">
        <v>3.72</v>
      </c>
      <c r="AQ10" s="452">
        <v>3841199.3</v>
      </c>
      <c r="AR10" s="448">
        <v>3.72</v>
      </c>
      <c r="AS10" s="452">
        <v>3842544.11</v>
      </c>
      <c r="AT10" s="448">
        <v>3.7</v>
      </c>
    </row>
    <row r="11" spans="1:46" ht="15">
      <c r="A11" s="419" t="s">
        <v>116</v>
      </c>
      <c r="B11" s="422" t="s">
        <v>117</v>
      </c>
      <c r="C11" s="451">
        <v>2407139.23</v>
      </c>
      <c r="D11" s="448">
        <v>2.33</v>
      </c>
      <c r="E11" s="451">
        <v>2409336.2000000002</v>
      </c>
      <c r="F11" s="448">
        <v>2.35</v>
      </c>
      <c r="G11" s="451">
        <v>2412635.13</v>
      </c>
      <c r="H11" s="448">
        <v>2.35</v>
      </c>
      <c r="I11" s="451">
        <v>2413735.89</v>
      </c>
      <c r="J11" s="448">
        <v>2.35</v>
      </c>
      <c r="K11" s="451">
        <v>2414837.14</v>
      </c>
      <c r="L11" s="448">
        <v>2.35</v>
      </c>
      <c r="M11" s="451">
        <v>2415938.86</v>
      </c>
      <c r="N11" s="448">
        <v>2.35</v>
      </c>
      <c r="O11" s="451">
        <v>2417041.0499999998</v>
      </c>
      <c r="P11" s="448">
        <v>2.35</v>
      </c>
      <c r="Q11" s="451">
        <v>2420350.52</v>
      </c>
      <c r="R11" s="448">
        <v>2.35</v>
      </c>
      <c r="S11" s="451">
        <v>2421454.87</v>
      </c>
      <c r="T11" s="448">
        <v>2.35</v>
      </c>
      <c r="U11" s="451">
        <v>2422559.46</v>
      </c>
      <c r="V11" s="448">
        <v>2.35</v>
      </c>
      <c r="W11" s="451">
        <v>2423664.77</v>
      </c>
      <c r="X11" s="448">
        <v>2.35</v>
      </c>
      <c r="Y11" s="451">
        <v>2424770.5600000001</v>
      </c>
      <c r="Z11" s="448">
        <v>2.36</v>
      </c>
      <c r="AA11" s="451">
        <v>2428090.56</v>
      </c>
      <c r="AB11" s="448">
        <v>2.36</v>
      </c>
      <c r="AC11" s="451">
        <v>2429198.5</v>
      </c>
      <c r="AD11" s="448">
        <v>2.36</v>
      </c>
      <c r="AE11" s="451">
        <v>2430306.69</v>
      </c>
      <c r="AF11" s="448">
        <v>2.36</v>
      </c>
      <c r="AG11" s="451">
        <v>2431415.35</v>
      </c>
      <c r="AH11" s="448">
        <v>2.36</v>
      </c>
      <c r="AI11" s="451">
        <v>2432524.73</v>
      </c>
      <c r="AJ11" s="448">
        <v>2.36</v>
      </c>
      <c r="AK11" s="451">
        <v>2435855.5</v>
      </c>
      <c r="AL11" s="448">
        <v>2.36</v>
      </c>
      <c r="AM11" s="451">
        <v>2436966.7999999998</v>
      </c>
      <c r="AN11" s="448">
        <v>2.36</v>
      </c>
      <c r="AO11" s="451">
        <v>2438078.5699999998</v>
      </c>
      <c r="AP11" s="448">
        <v>2.3699999999999997</v>
      </c>
      <c r="AQ11" s="451">
        <v>2439190.8199999998</v>
      </c>
      <c r="AR11" s="448">
        <v>2.36</v>
      </c>
      <c r="AS11" s="451">
        <v>2440303.5499999998</v>
      </c>
      <c r="AT11" s="448">
        <v>2.35</v>
      </c>
    </row>
    <row r="12" spans="1:46" ht="15">
      <c r="A12" s="497"/>
      <c r="B12" s="498"/>
      <c r="C12" s="451"/>
      <c r="D12" s="449"/>
      <c r="E12" s="451"/>
      <c r="F12" s="449"/>
      <c r="G12" s="451"/>
      <c r="H12" s="449"/>
      <c r="I12" s="451"/>
      <c r="J12" s="449"/>
      <c r="K12" s="451"/>
      <c r="L12" s="449"/>
      <c r="M12" s="451"/>
      <c r="N12" s="449"/>
      <c r="O12" s="451"/>
      <c r="P12" s="449"/>
      <c r="Q12" s="451"/>
      <c r="R12" s="449"/>
      <c r="S12" s="451"/>
      <c r="T12" s="449"/>
      <c r="U12" s="451"/>
      <c r="V12" s="449"/>
      <c r="W12" s="451"/>
      <c r="X12" s="449"/>
      <c r="Y12" s="451">
        <v>0</v>
      </c>
      <c r="Z12" s="449">
        <v>0</v>
      </c>
      <c r="AA12" s="451">
        <v>0</v>
      </c>
      <c r="AB12" s="449">
        <v>0</v>
      </c>
      <c r="AC12" s="451">
        <v>0</v>
      </c>
      <c r="AD12" s="449">
        <v>0</v>
      </c>
      <c r="AE12" s="451">
        <v>0</v>
      </c>
      <c r="AF12" s="449">
        <v>0</v>
      </c>
      <c r="AG12" s="451">
        <v>0</v>
      </c>
      <c r="AH12" s="449">
        <v>0</v>
      </c>
      <c r="AI12" s="451">
        <v>0</v>
      </c>
      <c r="AJ12" s="449">
        <v>0</v>
      </c>
      <c r="AK12" s="451">
        <v>0</v>
      </c>
      <c r="AL12" s="449">
        <v>0</v>
      </c>
      <c r="AM12" s="451">
        <v>0</v>
      </c>
      <c r="AN12" s="449">
        <v>0</v>
      </c>
      <c r="AO12" s="451">
        <v>0</v>
      </c>
      <c r="AP12" s="449">
        <v>0</v>
      </c>
      <c r="AQ12" s="451">
        <v>0</v>
      </c>
      <c r="AR12" s="449">
        <v>0</v>
      </c>
      <c r="AS12" s="451">
        <v>0</v>
      </c>
      <c r="AT12" s="449">
        <v>0</v>
      </c>
    </row>
    <row r="13" spans="1:46" ht="15">
      <c r="A13" s="420" t="s">
        <v>38</v>
      </c>
      <c r="B13" s="420" t="s">
        <v>39</v>
      </c>
      <c r="C13" s="450">
        <v>4165429.2</v>
      </c>
      <c r="D13" s="449">
        <v>4.04</v>
      </c>
      <c r="E13" s="450">
        <v>4169450.4</v>
      </c>
      <c r="F13" s="449">
        <v>4.0599999999999996</v>
      </c>
      <c r="G13" s="450">
        <v>4175489.2</v>
      </c>
      <c r="H13" s="449">
        <v>4.07</v>
      </c>
      <c r="I13" s="450">
        <v>4177504</v>
      </c>
      <c r="J13" s="449">
        <v>4.07</v>
      </c>
      <c r="K13" s="450">
        <v>4000000</v>
      </c>
      <c r="L13" s="449">
        <v>3.89</v>
      </c>
      <c r="M13" s="450">
        <v>4001930.4</v>
      </c>
      <c r="N13" s="449">
        <v>3.9</v>
      </c>
      <c r="O13" s="450">
        <v>4003861.2</v>
      </c>
      <c r="P13" s="449">
        <v>3.9</v>
      </c>
      <c r="Q13" s="450">
        <v>4009660.4</v>
      </c>
      <c r="R13" s="449">
        <v>3.9</v>
      </c>
      <c r="S13" s="450">
        <v>4011595.2</v>
      </c>
      <c r="T13" s="449">
        <v>3.9</v>
      </c>
      <c r="U13" s="450">
        <v>4013531.2</v>
      </c>
      <c r="V13" s="449">
        <v>3.91</v>
      </c>
      <c r="W13" s="450">
        <v>4015468</v>
      </c>
      <c r="X13" s="449">
        <v>3.9</v>
      </c>
      <c r="Y13" s="450">
        <v>4017405.6</v>
      </c>
      <c r="Z13" s="449">
        <v>3.91</v>
      </c>
      <c r="AA13" s="450">
        <v>4023224.4</v>
      </c>
      <c r="AB13" s="449">
        <v>3.9000000000000004</v>
      </c>
      <c r="AC13" s="450">
        <v>4025165.6</v>
      </c>
      <c r="AD13" s="449">
        <v>3.91</v>
      </c>
      <c r="AE13" s="450">
        <v>4027108</v>
      </c>
      <c r="AF13" s="449">
        <v>3.91</v>
      </c>
      <c r="AG13" s="450">
        <v>4029051.2</v>
      </c>
      <c r="AH13" s="449">
        <v>3.91</v>
      </c>
      <c r="AI13" s="450">
        <v>4030995.6</v>
      </c>
      <c r="AJ13" s="449">
        <v>3.91</v>
      </c>
      <c r="AK13" s="450">
        <v>4036834</v>
      </c>
      <c r="AL13" s="449">
        <v>3.91</v>
      </c>
      <c r="AM13" s="450">
        <v>4038782</v>
      </c>
      <c r="AN13" s="449">
        <v>3.9</v>
      </c>
      <c r="AO13" s="450">
        <v>4040730.8</v>
      </c>
      <c r="AP13" s="449">
        <v>3.92</v>
      </c>
      <c r="AQ13" s="450">
        <v>4042680.8</v>
      </c>
      <c r="AR13" s="449">
        <v>3.91</v>
      </c>
      <c r="AS13" s="450">
        <v>4044631.6</v>
      </c>
      <c r="AT13" s="449">
        <v>3.9</v>
      </c>
    </row>
    <row r="14" spans="1:46" thickBot="1">
      <c r="A14" s="421" t="s">
        <v>98</v>
      </c>
      <c r="B14" s="421" t="s">
        <v>99</v>
      </c>
      <c r="C14" s="453">
        <v>3069770.1</v>
      </c>
      <c r="D14" s="448">
        <v>2.98</v>
      </c>
      <c r="E14" s="453">
        <v>3073054.8</v>
      </c>
      <c r="F14" s="448">
        <v>2.99</v>
      </c>
      <c r="G14" s="453">
        <v>3077988.3</v>
      </c>
      <c r="H14" s="448">
        <v>3</v>
      </c>
      <c r="I14" s="453">
        <v>3079634.7</v>
      </c>
      <c r="J14" s="448">
        <v>3</v>
      </c>
      <c r="K14" s="453">
        <v>3081282</v>
      </c>
      <c r="L14" s="448">
        <v>3</v>
      </c>
      <c r="M14" s="453">
        <v>3082929.9</v>
      </c>
      <c r="N14" s="448">
        <v>3</v>
      </c>
      <c r="O14" s="453">
        <v>3084579</v>
      </c>
      <c r="P14" s="448">
        <v>3</v>
      </c>
      <c r="Q14" s="453">
        <v>3089531.1</v>
      </c>
      <c r="R14" s="448">
        <v>3.01</v>
      </c>
      <c r="S14" s="453">
        <v>3091183.5</v>
      </c>
      <c r="T14" s="448">
        <v>3.01</v>
      </c>
      <c r="U14" s="453">
        <v>3092836.8</v>
      </c>
      <c r="V14" s="448">
        <v>3.01</v>
      </c>
      <c r="W14" s="453">
        <v>3094491</v>
      </c>
      <c r="X14" s="448">
        <v>3.01</v>
      </c>
      <c r="Y14" s="453">
        <v>3096146.1</v>
      </c>
      <c r="Z14" s="448">
        <v>3.01</v>
      </c>
      <c r="AA14" s="453">
        <v>3101116.8</v>
      </c>
      <c r="AB14" s="448">
        <v>3.01</v>
      </c>
      <c r="AC14" s="453">
        <v>3102775.5</v>
      </c>
      <c r="AD14" s="448">
        <v>3.01</v>
      </c>
      <c r="AE14" s="453">
        <v>3104435.1</v>
      </c>
      <c r="AF14" s="448">
        <v>3.01</v>
      </c>
      <c r="AG14" s="453">
        <v>3106095.6</v>
      </c>
      <c r="AH14" s="448">
        <v>3.01</v>
      </c>
      <c r="AI14" s="453">
        <v>3107756.7</v>
      </c>
      <c r="AJ14" s="448">
        <v>3.01</v>
      </c>
      <c r="AK14" s="453">
        <v>3112746</v>
      </c>
      <c r="AL14" s="448">
        <v>3.01</v>
      </c>
      <c r="AM14" s="453">
        <v>3114411</v>
      </c>
      <c r="AN14" s="448">
        <v>3.01</v>
      </c>
      <c r="AO14" s="453">
        <v>3116076.9</v>
      </c>
      <c r="AP14" s="448">
        <v>3.02</v>
      </c>
      <c r="AQ14" s="453">
        <v>3117743.4</v>
      </c>
      <c r="AR14" s="448">
        <v>3.02</v>
      </c>
      <c r="AS14" s="453">
        <v>3119411.1</v>
      </c>
      <c r="AT14" s="448">
        <v>3.01</v>
      </c>
    </row>
    <row r="15" spans="1:46" ht="16.5" thickBot="1">
      <c r="A15" s="1022" t="s">
        <v>114</v>
      </c>
      <c r="B15" s="1047"/>
      <c r="C15" s="427">
        <f t="shared" ref="C15:AT15" si="1">SUM(C10:C14)</f>
        <v>13444750.290000001</v>
      </c>
      <c r="D15" s="427">
        <f t="shared" si="1"/>
        <v>13.04</v>
      </c>
      <c r="E15" s="427">
        <f t="shared" si="1"/>
        <v>13456915.530000001</v>
      </c>
      <c r="F15" s="427">
        <f t="shared" si="1"/>
        <v>13.110000000000001</v>
      </c>
      <c r="G15" s="427">
        <f t="shared" si="1"/>
        <v>13475183.719999999</v>
      </c>
      <c r="H15" s="427">
        <f t="shared" si="1"/>
        <v>13.13</v>
      </c>
      <c r="I15" s="427">
        <f t="shared" si="1"/>
        <v>13481279.140000001</v>
      </c>
      <c r="J15" s="427">
        <f t="shared" si="1"/>
        <v>13.14</v>
      </c>
      <c r="K15" s="427">
        <f t="shared" si="1"/>
        <v>13307857.130000001</v>
      </c>
      <c r="L15" s="427">
        <f t="shared" si="1"/>
        <v>12.950000000000001</v>
      </c>
      <c r="M15" s="427">
        <f t="shared" si="1"/>
        <v>13313871.75</v>
      </c>
      <c r="N15" s="427">
        <f t="shared" si="1"/>
        <v>12.97</v>
      </c>
      <c r="O15" s="427">
        <f t="shared" si="1"/>
        <v>13319888.43</v>
      </c>
      <c r="P15" s="427">
        <f t="shared" si="1"/>
        <v>12.97</v>
      </c>
      <c r="Q15" s="427">
        <f t="shared" si="1"/>
        <v>13337956</v>
      </c>
      <c r="R15" s="427">
        <f t="shared" si="1"/>
        <v>12.98</v>
      </c>
      <c r="S15" s="427">
        <f t="shared" si="1"/>
        <v>13343984.030000001</v>
      </c>
      <c r="T15" s="427">
        <f t="shared" si="1"/>
        <v>12.98</v>
      </c>
      <c r="U15" s="427">
        <f t="shared" si="1"/>
        <v>13350015.16</v>
      </c>
      <c r="V15" s="427">
        <f t="shared" si="1"/>
        <v>12.99</v>
      </c>
      <c r="W15" s="427">
        <f t="shared" si="1"/>
        <v>13356048.710000001</v>
      </c>
      <c r="X15" s="427">
        <f t="shared" si="1"/>
        <v>12.98</v>
      </c>
      <c r="Y15" s="427">
        <f t="shared" si="1"/>
        <v>13362085.199999999</v>
      </c>
      <c r="Z15" s="427">
        <f t="shared" si="1"/>
        <v>13</v>
      </c>
      <c r="AA15" s="427">
        <f t="shared" si="1"/>
        <v>13380211.719999999</v>
      </c>
      <c r="AB15" s="427">
        <f t="shared" si="1"/>
        <v>12.99</v>
      </c>
      <c r="AC15" s="427">
        <f t="shared" si="1"/>
        <v>13386259.449999999</v>
      </c>
      <c r="AD15" s="427">
        <f t="shared" si="1"/>
        <v>13</v>
      </c>
      <c r="AE15" s="427">
        <f t="shared" si="1"/>
        <v>13392309.91</v>
      </c>
      <c r="AF15" s="427">
        <f t="shared" si="1"/>
        <v>13</v>
      </c>
      <c r="AG15" s="427">
        <f t="shared" si="1"/>
        <v>13398362.92</v>
      </c>
      <c r="AH15" s="427">
        <f t="shared" si="1"/>
        <v>13</v>
      </c>
      <c r="AI15" s="427">
        <f t="shared" si="1"/>
        <v>13404419.199999999</v>
      </c>
      <c r="AJ15" s="427">
        <f t="shared" si="1"/>
        <v>13</v>
      </c>
      <c r="AK15" s="427">
        <f t="shared" si="1"/>
        <v>13422604.16</v>
      </c>
      <c r="AL15" s="427">
        <f t="shared" si="1"/>
        <v>13</v>
      </c>
      <c r="AM15" s="427">
        <f t="shared" si="1"/>
        <v>13428671.75</v>
      </c>
      <c r="AN15" s="427">
        <f t="shared" si="1"/>
        <v>12.98</v>
      </c>
      <c r="AO15" s="427">
        <f t="shared" si="1"/>
        <v>13434741.520000001</v>
      </c>
      <c r="AP15" s="427">
        <f t="shared" si="1"/>
        <v>13.03</v>
      </c>
      <c r="AQ15" s="427">
        <f t="shared" si="1"/>
        <v>13440814.319999998</v>
      </c>
      <c r="AR15" s="427">
        <f t="shared" si="1"/>
        <v>13.01</v>
      </c>
      <c r="AS15" s="427">
        <f t="shared" si="1"/>
        <v>13446890.359999999</v>
      </c>
      <c r="AT15" s="427">
        <f t="shared" si="1"/>
        <v>12.96</v>
      </c>
    </row>
    <row r="16" spans="1:46" ht="31.5">
      <c r="A16" s="77" t="s">
        <v>41</v>
      </c>
      <c r="B16" s="78" t="s">
        <v>42</v>
      </c>
      <c r="C16" s="407"/>
      <c r="D16" s="428"/>
      <c r="E16" s="407"/>
      <c r="F16" s="428"/>
      <c r="G16" s="407"/>
      <c r="H16" s="428"/>
      <c r="I16" s="407"/>
      <c r="J16" s="428"/>
      <c r="K16" s="407"/>
      <c r="L16" s="428"/>
      <c r="M16" s="407"/>
      <c r="N16" s="428"/>
      <c r="O16" s="407"/>
      <c r="P16" s="428"/>
      <c r="Q16" s="407"/>
      <c r="R16" s="428"/>
      <c r="S16" s="407"/>
      <c r="T16" s="428"/>
      <c r="U16" s="407"/>
      <c r="V16" s="428"/>
      <c r="W16" s="407"/>
      <c r="X16" s="428"/>
      <c r="Y16" s="407"/>
      <c r="Z16" s="428"/>
      <c r="AA16" s="407"/>
      <c r="AB16" s="428"/>
      <c r="AC16" s="407"/>
      <c r="AD16" s="428"/>
      <c r="AE16" s="407"/>
      <c r="AF16" s="428"/>
      <c r="AG16" s="407"/>
      <c r="AH16" s="428"/>
      <c r="AI16" s="407"/>
      <c r="AJ16" s="428"/>
      <c r="AK16" s="407"/>
      <c r="AL16" s="428"/>
      <c r="AM16" s="407"/>
      <c r="AN16" s="428"/>
      <c r="AO16" s="407"/>
      <c r="AP16" s="428"/>
      <c r="AQ16" s="407"/>
      <c r="AR16" s="428"/>
      <c r="AS16" s="407"/>
      <c r="AT16" s="428"/>
    </row>
    <row r="17" spans="1:46" ht="16.5" thickBot="1">
      <c r="A17" s="460">
        <v>22048622</v>
      </c>
      <c r="B17" s="461" t="s">
        <v>121</v>
      </c>
      <c r="C17" s="462">
        <v>1706400</v>
      </c>
      <c r="D17" s="428">
        <v>1.66</v>
      </c>
      <c r="E17" s="462">
        <v>1706400</v>
      </c>
      <c r="F17" s="428">
        <v>1.66</v>
      </c>
      <c r="G17" s="462">
        <v>1706400</v>
      </c>
      <c r="H17" s="428">
        <v>1.66</v>
      </c>
      <c r="I17" s="462">
        <v>1706400</v>
      </c>
      <c r="J17" s="428">
        <v>1.66</v>
      </c>
      <c r="K17" s="462">
        <v>1706400</v>
      </c>
      <c r="L17" s="428">
        <v>1.66</v>
      </c>
      <c r="M17" s="462">
        <v>1706400</v>
      </c>
      <c r="N17" s="428">
        <v>1.66</v>
      </c>
      <c r="O17" s="462">
        <v>1706400</v>
      </c>
      <c r="P17" s="428">
        <v>1.66</v>
      </c>
      <c r="Q17" s="462">
        <v>1706400</v>
      </c>
      <c r="R17" s="428">
        <v>1.66</v>
      </c>
      <c r="S17" s="462">
        <v>1706400</v>
      </c>
      <c r="T17" s="428">
        <v>1.66</v>
      </c>
      <c r="U17" s="462">
        <v>1706400</v>
      </c>
      <c r="V17" s="428">
        <v>1.66</v>
      </c>
      <c r="W17" s="462">
        <v>1706400</v>
      </c>
      <c r="X17" s="428">
        <v>1.66</v>
      </c>
      <c r="Y17" s="462">
        <v>1706400</v>
      </c>
      <c r="Z17" s="428">
        <v>1.66</v>
      </c>
      <c r="AA17" s="462">
        <v>1706400</v>
      </c>
      <c r="AB17" s="428">
        <v>1.66</v>
      </c>
      <c r="AC17" s="462">
        <v>1706400</v>
      </c>
      <c r="AD17" s="428">
        <v>1.66</v>
      </c>
      <c r="AE17" s="462">
        <v>1706400</v>
      </c>
      <c r="AF17" s="428">
        <v>1.66</v>
      </c>
      <c r="AG17" s="462">
        <v>1706400</v>
      </c>
      <c r="AH17" s="428">
        <v>1.65</v>
      </c>
      <c r="AI17" s="462">
        <v>1706400</v>
      </c>
      <c r="AJ17" s="428">
        <v>1.65</v>
      </c>
      <c r="AK17" s="462">
        <v>1706400</v>
      </c>
      <c r="AL17" s="428">
        <v>1.65</v>
      </c>
      <c r="AM17" s="462">
        <v>1706400</v>
      </c>
      <c r="AN17" s="428">
        <v>1.65</v>
      </c>
      <c r="AO17" s="462">
        <v>1706400</v>
      </c>
      <c r="AP17" s="428">
        <v>1.66</v>
      </c>
      <c r="AQ17" s="462">
        <v>1706400</v>
      </c>
      <c r="AR17" s="428">
        <v>1.65</v>
      </c>
      <c r="AS17" s="462">
        <v>1706400</v>
      </c>
      <c r="AT17" s="428">
        <v>1.65</v>
      </c>
    </row>
    <row r="18" spans="1:46" ht="16.5" thickBot="1">
      <c r="A18" s="1039" t="s">
        <v>112</v>
      </c>
      <c r="B18" s="1039"/>
      <c r="C18" s="408">
        <f>SUM(C16:C17)</f>
        <v>1706400</v>
      </c>
      <c r="D18" s="408">
        <f>D17</f>
        <v>1.66</v>
      </c>
      <c r="E18" s="408">
        <f>SUM(E16:E17)</f>
        <v>1706400</v>
      </c>
      <c r="F18" s="408">
        <f>F17</f>
        <v>1.66</v>
      </c>
      <c r="G18" s="408">
        <f>SUM(G16:G17)</f>
        <v>1706400</v>
      </c>
      <c r="H18" s="408">
        <f>H17</f>
        <v>1.66</v>
      </c>
      <c r="I18" s="408">
        <f>SUM(I16:I17)</f>
        <v>1706400</v>
      </c>
      <c r="J18" s="408">
        <f>J17</f>
        <v>1.66</v>
      </c>
      <c r="K18" s="408">
        <f>SUM(K16:K17)</f>
        <v>1706400</v>
      </c>
      <c r="L18" s="408">
        <f>L17</f>
        <v>1.66</v>
      </c>
      <c r="M18" s="408">
        <f>SUM(M16:M17)</f>
        <v>1706400</v>
      </c>
      <c r="N18" s="408">
        <f>N17</f>
        <v>1.66</v>
      </c>
      <c r="O18" s="408">
        <f>SUM(O16:O17)</f>
        <v>1706400</v>
      </c>
      <c r="P18" s="408">
        <f>P17</f>
        <v>1.66</v>
      </c>
      <c r="Q18" s="408">
        <f>SUM(Q16:Q17)</f>
        <v>1706400</v>
      </c>
      <c r="R18" s="408">
        <f>R17</f>
        <v>1.66</v>
      </c>
      <c r="S18" s="408">
        <f>SUM(S16:S17)</f>
        <v>1706400</v>
      </c>
      <c r="T18" s="408">
        <f>T17</f>
        <v>1.66</v>
      </c>
      <c r="U18" s="408">
        <f>SUM(U16:U17)</f>
        <v>1706400</v>
      </c>
      <c r="V18" s="408">
        <f>V17</f>
        <v>1.66</v>
      </c>
      <c r="W18" s="408">
        <f>SUM(W16:W17)</f>
        <v>1706400</v>
      </c>
      <c r="X18" s="408">
        <f>X17</f>
        <v>1.66</v>
      </c>
      <c r="Y18" s="408">
        <f>SUM(Y16:Y17)</f>
        <v>1706400</v>
      </c>
      <c r="Z18" s="408">
        <f>Z17</f>
        <v>1.66</v>
      </c>
      <c r="AA18" s="408">
        <f>SUM(AA16:AA17)</f>
        <v>1706400</v>
      </c>
      <c r="AB18" s="408">
        <f>AB17</f>
        <v>1.66</v>
      </c>
      <c r="AC18" s="408">
        <f>SUM(AC16:AC17)</f>
        <v>1706400</v>
      </c>
      <c r="AD18" s="408">
        <f>AD17</f>
        <v>1.66</v>
      </c>
      <c r="AE18" s="408">
        <f>SUM(AE16:AE17)</f>
        <v>1706400</v>
      </c>
      <c r="AF18" s="408">
        <f>AF17</f>
        <v>1.66</v>
      </c>
      <c r="AG18" s="408">
        <f>SUM(AG16:AG17)</f>
        <v>1706400</v>
      </c>
      <c r="AH18" s="408">
        <f>AH17</f>
        <v>1.65</v>
      </c>
      <c r="AI18" s="408">
        <f>SUM(AI16:AI17)</f>
        <v>1706400</v>
      </c>
      <c r="AJ18" s="408">
        <f>AJ17</f>
        <v>1.65</v>
      </c>
      <c r="AK18" s="408">
        <f>SUM(AK16:AK17)</f>
        <v>1706400</v>
      </c>
      <c r="AL18" s="408">
        <f>AL17</f>
        <v>1.65</v>
      </c>
      <c r="AM18" s="408">
        <f>SUM(AM16:AM17)</f>
        <v>1706400</v>
      </c>
      <c r="AN18" s="408">
        <f>AN17</f>
        <v>1.65</v>
      </c>
      <c r="AO18" s="408">
        <f>SUM(AO16:AO17)</f>
        <v>1706400</v>
      </c>
      <c r="AP18" s="408">
        <f>AP17</f>
        <v>1.66</v>
      </c>
      <c r="AQ18" s="408">
        <f>SUM(AQ16:AQ17)</f>
        <v>1706400</v>
      </c>
      <c r="AR18" s="408">
        <f>AR17</f>
        <v>1.65</v>
      </c>
      <c r="AS18" s="408">
        <f>SUM(AS16:AS17)</f>
        <v>1706400</v>
      </c>
      <c r="AT18" s="408">
        <f>AT17</f>
        <v>1.65</v>
      </c>
    </row>
    <row r="19" spans="1:46">
      <c r="A19" s="447" t="s">
        <v>106</v>
      </c>
      <c r="B19" s="446"/>
      <c r="C19" s="429">
        <v>550495</v>
      </c>
      <c r="D19" s="454">
        <v>0.54</v>
      </c>
      <c r="E19" s="429">
        <v>550495</v>
      </c>
      <c r="F19" s="454">
        <v>0.54</v>
      </c>
      <c r="G19" s="429">
        <v>550495</v>
      </c>
      <c r="H19" s="454">
        <v>0.53</v>
      </c>
      <c r="I19" s="429">
        <v>550495</v>
      </c>
      <c r="J19" s="454">
        <v>0.54</v>
      </c>
      <c r="K19" s="429">
        <v>550495</v>
      </c>
      <c r="L19" s="454">
        <v>0.53</v>
      </c>
      <c r="M19" s="429">
        <v>550495</v>
      </c>
      <c r="N19" s="454">
        <v>0.53</v>
      </c>
      <c r="O19" s="429">
        <v>550495</v>
      </c>
      <c r="P19" s="454">
        <v>0.53</v>
      </c>
      <c r="Q19" s="429">
        <v>550495</v>
      </c>
      <c r="R19" s="454">
        <v>0.53</v>
      </c>
      <c r="S19" s="429">
        <v>550495</v>
      </c>
      <c r="T19" s="454">
        <v>0.53</v>
      </c>
      <c r="U19" s="429">
        <v>550495</v>
      </c>
      <c r="V19" s="454">
        <v>0.53</v>
      </c>
      <c r="W19" s="429">
        <v>550495</v>
      </c>
      <c r="X19" s="454">
        <v>0.53</v>
      </c>
      <c r="Y19" s="429">
        <v>550495</v>
      </c>
      <c r="Z19" s="454">
        <v>0.53</v>
      </c>
      <c r="AA19" s="429">
        <v>550495</v>
      </c>
      <c r="AB19" s="454">
        <v>0.54</v>
      </c>
      <c r="AC19" s="429">
        <v>550495</v>
      </c>
      <c r="AD19" s="454">
        <v>0.54</v>
      </c>
      <c r="AE19" s="429">
        <v>550495</v>
      </c>
      <c r="AF19" s="454">
        <v>0.54</v>
      </c>
      <c r="AG19" s="429">
        <v>550495</v>
      </c>
      <c r="AH19" s="454">
        <v>0.53</v>
      </c>
      <c r="AI19" s="429">
        <v>550495</v>
      </c>
      <c r="AJ19" s="454">
        <v>0.53</v>
      </c>
      <c r="AK19" s="429">
        <v>550495</v>
      </c>
      <c r="AL19" s="454">
        <v>0.53</v>
      </c>
      <c r="AM19" s="429">
        <v>550495</v>
      </c>
      <c r="AN19" s="454">
        <v>0.53</v>
      </c>
      <c r="AO19" s="429">
        <v>550495</v>
      </c>
      <c r="AP19" s="454">
        <v>0.53</v>
      </c>
      <c r="AQ19" s="429">
        <v>550495</v>
      </c>
      <c r="AR19" s="454">
        <v>0.53</v>
      </c>
      <c r="AS19" s="429">
        <v>550495</v>
      </c>
      <c r="AT19" s="454">
        <v>0.53</v>
      </c>
    </row>
    <row r="20" spans="1:46">
      <c r="A20" s="447" t="s">
        <v>107</v>
      </c>
      <c r="B20" s="446"/>
      <c r="C20" s="430">
        <v>1188246.17</v>
      </c>
      <c r="D20" s="455">
        <v>1.1499999999999999</v>
      </c>
      <c r="E20" s="430">
        <v>1188246.17</v>
      </c>
      <c r="F20" s="455">
        <v>1.1599999999999999</v>
      </c>
      <c r="G20" s="430">
        <v>1188246.17</v>
      </c>
      <c r="H20" s="455">
        <v>1.1599999999999999</v>
      </c>
      <c r="I20" s="430">
        <v>1188246.17</v>
      </c>
      <c r="J20" s="455">
        <v>1.1599999999999999</v>
      </c>
      <c r="K20" s="430">
        <v>1188246.17</v>
      </c>
      <c r="L20" s="455">
        <v>1.1599999999999999</v>
      </c>
      <c r="M20" s="430">
        <v>1188246.17</v>
      </c>
      <c r="N20" s="455">
        <v>1.1599999999999999</v>
      </c>
      <c r="O20" s="430">
        <v>1188246.17</v>
      </c>
      <c r="P20" s="455">
        <v>1.1599999999999999</v>
      </c>
      <c r="Q20" s="430">
        <v>1188246.17</v>
      </c>
      <c r="R20" s="455">
        <v>1.1599999999999999</v>
      </c>
      <c r="S20" s="430">
        <v>1188246.17</v>
      </c>
      <c r="T20" s="455">
        <v>1.1599999999999999</v>
      </c>
      <c r="U20" s="430">
        <v>1188246.17</v>
      </c>
      <c r="V20" s="455">
        <v>1.1599999999999999</v>
      </c>
      <c r="W20" s="430">
        <v>1188246.17</v>
      </c>
      <c r="X20" s="455">
        <v>1.1599999999999999</v>
      </c>
      <c r="Y20" s="430">
        <v>1188246.17</v>
      </c>
      <c r="Z20" s="455">
        <v>1.1599999999999999</v>
      </c>
      <c r="AA20" s="430">
        <v>1188246.17</v>
      </c>
      <c r="AB20" s="455">
        <v>1.1499999999999999</v>
      </c>
      <c r="AC20" s="430">
        <v>1188246.17</v>
      </c>
      <c r="AD20" s="455">
        <v>1.1499999999999999</v>
      </c>
      <c r="AE20" s="430">
        <v>1188246.17</v>
      </c>
      <c r="AF20" s="455">
        <v>1.1499999999999999</v>
      </c>
      <c r="AG20" s="430">
        <v>1188246.17</v>
      </c>
      <c r="AH20" s="455">
        <v>1.1499999999999999</v>
      </c>
      <c r="AI20" s="430">
        <v>1188246.17</v>
      </c>
      <c r="AJ20" s="455">
        <v>1.1499999999999999</v>
      </c>
      <c r="AK20" s="430">
        <v>1188246.17</v>
      </c>
      <c r="AL20" s="455">
        <v>1.1499999999999999</v>
      </c>
      <c r="AM20" s="430">
        <v>1188246.17</v>
      </c>
      <c r="AN20" s="455">
        <v>1.1499999999999999</v>
      </c>
      <c r="AO20" s="430">
        <v>1188246.17</v>
      </c>
      <c r="AP20" s="455">
        <v>1.1499999999999999</v>
      </c>
      <c r="AQ20" s="430">
        <v>1188246.17</v>
      </c>
      <c r="AR20" s="455">
        <v>1.1499999999999999</v>
      </c>
      <c r="AS20" s="430">
        <v>1188246.17</v>
      </c>
      <c r="AT20" s="455">
        <v>1.1499999999999999</v>
      </c>
    </row>
    <row r="21" spans="1:46" ht="16.5" thickBot="1">
      <c r="A21" s="447" t="s">
        <v>108</v>
      </c>
      <c r="B21" s="446"/>
      <c r="C21" s="431">
        <v>5267242.53</v>
      </c>
      <c r="D21" s="454">
        <v>5.1100000000000003</v>
      </c>
      <c r="E21" s="431">
        <v>5267242.53</v>
      </c>
      <c r="F21" s="454">
        <v>5.13</v>
      </c>
      <c r="G21" s="431">
        <v>5267242.53</v>
      </c>
      <c r="H21" s="454">
        <v>5.13</v>
      </c>
      <c r="I21" s="431">
        <v>5267242.53</v>
      </c>
      <c r="J21" s="454">
        <v>5.13</v>
      </c>
      <c r="K21" s="431">
        <v>5267242.53</v>
      </c>
      <c r="L21" s="454">
        <v>5.13</v>
      </c>
      <c r="M21" s="431">
        <v>5267242.53</v>
      </c>
      <c r="N21" s="454">
        <v>5.13</v>
      </c>
      <c r="O21" s="431">
        <v>5267242.53</v>
      </c>
      <c r="P21" s="454">
        <v>5.13</v>
      </c>
      <c r="Q21" s="431">
        <v>5267242.53</v>
      </c>
      <c r="R21" s="454">
        <v>5.13</v>
      </c>
      <c r="S21" s="431">
        <v>5267242.53</v>
      </c>
      <c r="T21" s="454">
        <v>5.13</v>
      </c>
      <c r="U21" s="431">
        <v>5267242.53</v>
      </c>
      <c r="V21" s="454">
        <v>5.12</v>
      </c>
      <c r="W21" s="431">
        <v>5267242.53</v>
      </c>
      <c r="X21" s="454">
        <v>5.12</v>
      </c>
      <c r="Y21" s="431">
        <v>5267242.53</v>
      </c>
      <c r="Z21" s="454">
        <v>5.13</v>
      </c>
      <c r="AA21" s="431">
        <v>5267242.53</v>
      </c>
      <c r="AB21" s="454">
        <v>5.1100000000000003</v>
      </c>
      <c r="AC21" s="431">
        <v>5267242.53</v>
      </c>
      <c r="AD21" s="454">
        <v>5.1100000000000003</v>
      </c>
      <c r="AE21" s="431">
        <v>5267242.53</v>
      </c>
      <c r="AF21" s="454">
        <v>5.1100000000000003</v>
      </c>
      <c r="AG21" s="431">
        <v>5267242.53</v>
      </c>
      <c r="AH21" s="454">
        <v>5.1100000000000003</v>
      </c>
      <c r="AI21" s="431">
        <v>5267242.53</v>
      </c>
      <c r="AJ21" s="454">
        <v>5.1100000000000003</v>
      </c>
      <c r="AK21" s="431">
        <v>5267242.53</v>
      </c>
      <c r="AL21" s="454">
        <v>5.0999999999999996</v>
      </c>
      <c r="AM21" s="431">
        <v>5267242.53</v>
      </c>
      <c r="AN21" s="454">
        <v>5.09</v>
      </c>
      <c r="AO21" s="431">
        <v>5267242.53</v>
      </c>
      <c r="AP21" s="454">
        <v>5.1100000000000003</v>
      </c>
      <c r="AQ21" s="431">
        <v>5267242.53</v>
      </c>
      <c r="AR21" s="454">
        <v>5.0999999999999996</v>
      </c>
      <c r="AS21" s="431">
        <v>5267242.53</v>
      </c>
      <c r="AT21" s="454">
        <v>5.08</v>
      </c>
    </row>
    <row r="22" spans="1:46" ht="16.5" thickBot="1">
      <c r="A22" s="1026" t="s">
        <v>111</v>
      </c>
      <c r="B22" s="1027"/>
      <c r="C22" s="408">
        <f t="shared" ref="C22:AT22" si="2">SUM(C19:C21)</f>
        <v>7005983.7000000002</v>
      </c>
      <c r="D22" s="408">
        <f t="shared" si="2"/>
        <v>6.8000000000000007</v>
      </c>
      <c r="E22" s="408">
        <f t="shared" si="2"/>
        <v>7005983.7000000002</v>
      </c>
      <c r="F22" s="408">
        <f t="shared" si="2"/>
        <v>6.83</v>
      </c>
      <c r="G22" s="408">
        <f t="shared" si="2"/>
        <v>7005983.7000000002</v>
      </c>
      <c r="H22" s="408">
        <f t="shared" si="2"/>
        <v>6.82</v>
      </c>
      <c r="I22" s="408">
        <f t="shared" si="2"/>
        <v>7005983.7000000002</v>
      </c>
      <c r="J22" s="408">
        <f t="shared" si="2"/>
        <v>6.83</v>
      </c>
      <c r="K22" s="408">
        <f t="shared" si="2"/>
        <v>7005983.7000000002</v>
      </c>
      <c r="L22" s="408">
        <f t="shared" si="2"/>
        <v>6.82</v>
      </c>
      <c r="M22" s="408">
        <f t="shared" si="2"/>
        <v>7005983.7000000002</v>
      </c>
      <c r="N22" s="408">
        <f t="shared" si="2"/>
        <v>6.82</v>
      </c>
      <c r="O22" s="408">
        <f t="shared" si="2"/>
        <v>7005983.7000000002</v>
      </c>
      <c r="P22" s="408">
        <f t="shared" si="2"/>
        <v>6.82</v>
      </c>
      <c r="Q22" s="408">
        <f t="shared" si="2"/>
        <v>7005983.7000000002</v>
      </c>
      <c r="R22" s="408">
        <f t="shared" si="2"/>
        <v>6.82</v>
      </c>
      <c r="S22" s="408">
        <f t="shared" si="2"/>
        <v>7005983.7000000002</v>
      </c>
      <c r="T22" s="408">
        <f t="shared" si="2"/>
        <v>6.82</v>
      </c>
      <c r="U22" s="408">
        <f t="shared" si="2"/>
        <v>7005983.7000000002</v>
      </c>
      <c r="V22" s="408">
        <f t="shared" si="2"/>
        <v>6.8100000000000005</v>
      </c>
      <c r="W22" s="408">
        <f t="shared" si="2"/>
        <v>7005983.7000000002</v>
      </c>
      <c r="X22" s="408">
        <f t="shared" si="2"/>
        <v>6.8100000000000005</v>
      </c>
      <c r="Y22" s="408">
        <f t="shared" si="2"/>
        <v>7005983.7000000002</v>
      </c>
      <c r="Z22" s="408">
        <f t="shared" si="2"/>
        <v>6.82</v>
      </c>
      <c r="AA22" s="408">
        <f t="shared" si="2"/>
        <v>7005983.7000000002</v>
      </c>
      <c r="AB22" s="408">
        <f t="shared" si="2"/>
        <v>6.8000000000000007</v>
      </c>
      <c r="AC22" s="408">
        <f t="shared" si="2"/>
        <v>7005983.7000000002</v>
      </c>
      <c r="AD22" s="408">
        <f t="shared" si="2"/>
        <v>6.8000000000000007</v>
      </c>
      <c r="AE22" s="408">
        <f t="shared" si="2"/>
        <v>7005983.7000000002</v>
      </c>
      <c r="AF22" s="408">
        <f t="shared" si="2"/>
        <v>6.8000000000000007</v>
      </c>
      <c r="AG22" s="408">
        <f t="shared" si="2"/>
        <v>7005983.7000000002</v>
      </c>
      <c r="AH22" s="408">
        <f t="shared" si="2"/>
        <v>6.79</v>
      </c>
      <c r="AI22" s="408">
        <f t="shared" si="2"/>
        <v>7005983.7000000002</v>
      </c>
      <c r="AJ22" s="408">
        <f t="shared" si="2"/>
        <v>6.79</v>
      </c>
      <c r="AK22" s="408">
        <f t="shared" si="2"/>
        <v>7005983.7000000002</v>
      </c>
      <c r="AL22" s="408">
        <f t="shared" si="2"/>
        <v>6.7799999999999994</v>
      </c>
      <c r="AM22" s="408">
        <f t="shared" si="2"/>
        <v>7005983.7000000002</v>
      </c>
      <c r="AN22" s="408">
        <f t="shared" si="2"/>
        <v>6.77</v>
      </c>
      <c r="AO22" s="408">
        <f t="shared" si="2"/>
        <v>7005983.7000000002</v>
      </c>
      <c r="AP22" s="408">
        <f t="shared" si="2"/>
        <v>6.79</v>
      </c>
      <c r="AQ22" s="408">
        <f t="shared" si="2"/>
        <v>7005983.7000000002</v>
      </c>
      <c r="AR22" s="408">
        <f t="shared" si="2"/>
        <v>6.7799999999999994</v>
      </c>
      <c r="AS22" s="408">
        <f t="shared" si="2"/>
        <v>7005983.7000000002</v>
      </c>
      <c r="AT22" s="408">
        <f t="shared" si="2"/>
        <v>6.76</v>
      </c>
    </row>
    <row r="23" spans="1:46">
      <c r="A23" s="96" t="s">
        <v>45</v>
      </c>
      <c r="B23" s="478" t="s">
        <v>58</v>
      </c>
      <c r="C23" s="464">
        <v>0</v>
      </c>
      <c r="D23" s="463">
        <v>0</v>
      </c>
      <c r="E23" s="464">
        <v>0</v>
      </c>
      <c r="F23" s="463">
        <v>0</v>
      </c>
      <c r="G23" s="464">
        <v>0</v>
      </c>
      <c r="H23" s="463">
        <v>0</v>
      </c>
      <c r="I23" s="464">
        <v>0</v>
      </c>
      <c r="J23" s="463">
        <v>0</v>
      </c>
      <c r="K23" s="464">
        <v>0</v>
      </c>
      <c r="L23" s="463">
        <v>0</v>
      </c>
      <c r="M23" s="464">
        <v>0</v>
      </c>
      <c r="N23" s="463">
        <v>0</v>
      </c>
      <c r="O23" s="464">
        <v>0</v>
      </c>
      <c r="P23" s="463"/>
      <c r="Q23" s="464">
        <v>0</v>
      </c>
      <c r="R23" s="463"/>
      <c r="S23" s="464">
        <v>0</v>
      </c>
      <c r="T23" s="463"/>
      <c r="U23" s="464">
        <v>0</v>
      </c>
      <c r="V23" s="463"/>
      <c r="W23" s="464">
        <v>0</v>
      </c>
      <c r="X23" s="463"/>
      <c r="Y23" s="464">
        <v>0</v>
      </c>
      <c r="Z23" s="463"/>
      <c r="AA23" s="464">
        <v>0</v>
      </c>
      <c r="AB23" s="463"/>
      <c r="AC23" s="464">
        <v>0</v>
      </c>
      <c r="AD23" s="463"/>
      <c r="AE23" s="464">
        <v>0</v>
      </c>
      <c r="AF23" s="463"/>
      <c r="AG23" s="464">
        <v>0</v>
      </c>
      <c r="AH23" s="463"/>
      <c r="AI23" s="464">
        <v>0</v>
      </c>
      <c r="AJ23" s="463"/>
      <c r="AK23" s="464">
        <v>0</v>
      </c>
      <c r="AL23" s="463"/>
      <c r="AM23" s="464">
        <v>0</v>
      </c>
      <c r="AN23" s="463"/>
      <c r="AO23" s="464">
        <v>0</v>
      </c>
      <c r="AP23" s="463"/>
      <c r="AQ23" s="464">
        <v>0</v>
      </c>
      <c r="AR23" s="463"/>
      <c r="AS23" s="464">
        <v>0</v>
      </c>
      <c r="AT23" s="463"/>
    </row>
    <row r="24" spans="1:46">
      <c r="A24" s="99" t="s">
        <v>45</v>
      </c>
      <c r="B24" s="478" t="s">
        <v>58</v>
      </c>
      <c r="C24" s="464">
        <v>139688.47</v>
      </c>
      <c r="D24" s="463">
        <v>0.14000000000000001</v>
      </c>
      <c r="E24" s="464">
        <v>688.47</v>
      </c>
      <c r="F24" s="463">
        <v>0</v>
      </c>
      <c r="G24" s="464">
        <v>10750.87</v>
      </c>
      <c r="H24" s="463">
        <v>0.01</v>
      </c>
      <c r="I24" s="464">
        <v>10750.87</v>
      </c>
      <c r="J24" s="463">
        <v>0.01</v>
      </c>
      <c r="K24" s="464">
        <v>10750.87</v>
      </c>
      <c r="L24" s="463">
        <v>0.01</v>
      </c>
      <c r="M24" s="464">
        <v>190270.87</v>
      </c>
      <c r="N24" s="463">
        <v>0.18</v>
      </c>
      <c r="O24" s="464">
        <v>26827.95</v>
      </c>
      <c r="P24" s="463">
        <v>0.03</v>
      </c>
      <c r="Q24" s="464">
        <v>32478.9</v>
      </c>
      <c r="R24" s="463">
        <v>0.03</v>
      </c>
      <c r="S24" s="464">
        <v>32478.9</v>
      </c>
      <c r="T24" s="463">
        <v>0.03</v>
      </c>
      <c r="U24" s="464">
        <v>8179411.1600000001</v>
      </c>
      <c r="V24" s="463">
        <v>7.96</v>
      </c>
      <c r="W24" s="464">
        <v>16083.16</v>
      </c>
      <c r="X24" s="463">
        <v>0.02</v>
      </c>
      <c r="Y24" s="464">
        <v>16083.16</v>
      </c>
      <c r="Z24" s="463">
        <v>0.01</v>
      </c>
      <c r="AA24" s="464">
        <v>16083.16</v>
      </c>
      <c r="AB24" s="463">
        <v>0.02</v>
      </c>
      <c r="AC24" s="464">
        <v>16083.16</v>
      </c>
      <c r="AD24" s="463">
        <v>0.02</v>
      </c>
      <c r="AE24" s="464">
        <v>404945.16</v>
      </c>
      <c r="AF24" s="463">
        <v>0.39</v>
      </c>
      <c r="AG24" s="464">
        <v>4945.16</v>
      </c>
      <c r="AH24" s="463">
        <v>0</v>
      </c>
      <c r="AI24" s="464">
        <v>4945.16</v>
      </c>
      <c r="AJ24" s="463">
        <v>0</v>
      </c>
      <c r="AK24" s="464">
        <v>2031346.22</v>
      </c>
      <c r="AL24" s="463">
        <v>1.97</v>
      </c>
      <c r="AM24" s="464">
        <v>31346.22</v>
      </c>
      <c r="AN24" s="463">
        <v>0.03</v>
      </c>
      <c r="AO24" s="464">
        <v>717746.22</v>
      </c>
      <c r="AP24" s="463" t="e">
        <f>ROUND('[59]160125'!B37/'[59]160125'!$D$122*100,2)</f>
        <v>#DIV/0!</v>
      </c>
      <c r="AQ24" s="464">
        <v>2746.22</v>
      </c>
      <c r="AR24" s="463">
        <v>0</v>
      </c>
      <c r="AS24" s="464">
        <v>2746.22</v>
      </c>
      <c r="AT24" s="463">
        <v>0</v>
      </c>
    </row>
    <row r="25" spans="1:46">
      <c r="A25" s="99" t="s">
        <v>45</v>
      </c>
      <c r="B25" s="478" t="s">
        <v>58</v>
      </c>
      <c r="C25" s="464">
        <v>0</v>
      </c>
      <c r="D25" s="463">
        <v>0</v>
      </c>
      <c r="E25" s="464">
        <v>0</v>
      </c>
      <c r="F25" s="463">
        <v>0</v>
      </c>
      <c r="G25" s="464">
        <v>0</v>
      </c>
      <c r="H25" s="463">
        <v>0</v>
      </c>
      <c r="I25" s="464">
        <v>0</v>
      </c>
      <c r="J25" s="463">
        <v>0</v>
      </c>
      <c r="K25" s="464">
        <v>0</v>
      </c>
      <c r="L25" s="463">
        <v>0</v>
      </c>
      <c r="M25" s="464">
        <v>0</v>
      </c>
      <c r="N25" s="463">
        <v>0</v>
      </c>
      <c r="O25" s="464">
        <v>0</v>
      </c>
      <c r="P25" s="463">
        <v>0</v>
      </c>
      <c r="Q25" s="464">
        <v>0</v>
      </c>
      <c r="R25" s="463">
        <v>0</v>
      </c>
      <c r="S25" s="464">
        <v>0</v>
      </c>
      <c r="T25" s="463">
        <v>0</v>
      </c>
      <c r="U25" s="464">
        <v>0</v>
      </c>
      <c r="V25" s="463">
        <v>0</v>
      </c>
      <c r="W25" s="464">
        <v>0</v>
      </c>
      <c r="X25" s="463">
        <v>0</v>
      </c>
      <c r="Y25" s="464">
        <v>0</v>
      </c>
      <c r="Z25" s="463">
        <v>0</v>
      </c>
      <c r="AA25" s="464">
        <v>0</v>
      </c>
      <c r="AB25" s="463">
        <v>0</v>
      </c>
      <c r="AC25" s="464">
        <v>0</v>
      </c>
      <c r="AD25" s="463">
        <v>0</v>
      </c>
      <c r="AE25" s="464">
        <v>0</v>
      </c>
      <c r="AF25" s="463">
        <v>0</v>
      </c>
      <c r="AG25" s="464">
        <v>0</v>
      </c>
      <c r="AH25" s="463">
        <v>0</v>
      </c>
      <c r="AI25" s="464">
        <v>0</v>
      </c>
      <c r="AJ25" s="463">
        <v>0</v>
      </c>
      <c r="AK25" s="464">
        <v>0</v>
      </c>
      <c r="AL25" s="463">
        <v>0</v>
      </c>
      <c r="AM25" s="464">
        <v>0</v>
      </c>
      <c r="AN25" s="463">
        <v>0</v>
      </c>
      <c r="AO25" s="464">
        <v>0</v>
      </c>
      <c r="AP25" s="463" t="e">
        <f>ROUND('[59]160125'!B38/'[59]160125'!$D$122*100,2)</f>
        <v>#DIV/0!</v>
      </c>
      <c r="AQ25" s="464">
        <v>0</v>
      </c>
      <c r="AR25" s="463">
        <v>0</v>
      </c>
      <c r="AS25" s="464">
        <v>0</v>
      </c>
      <c r="AT25" s="463">
        <v>0</v>
      </c>
    </row>
    <row r="26" spans="1:46" ht="16.5" thickBot="1">
      <c r="A26" s="101"/>
      <c r="B26" s="478" t="s">
        <v>58</v>
      </c>
      <c r="C26" s="464">
        <v>26158.400000000001</v>
      </c>
      <c r="D26" s="480">
        <v>0.03</v>
      </c>
      <c r="E26" s="482">
        <v>17853.97</v>
      </c>
      <c r="F26" s="480">
        <v>0.02</v>
      </c>
      <c r="G26" s="482">
        <v>20429.97</v>
      </c>
      <c r="H26" s="480">
        <v>0.02</v>
      </c>
      <c r="I26" s="464">
        <v>21751.38</v>
      </c>
      <c r="J26" s="480">
        <v>0.02</v>
      </c>
      <c r="K26" s="464">
        <v>28064.38</v>
      </c>
      <c r="L26" s="480">
        <v>0.03</v>
      </c>
      <c r="M26" s="464">
        <v>30756.38</v>
      </c>
      <c r="N26" s="480">
        <v>0.03</v>
      </c>
      <c r="O26" s="464">
        <v>30756.38</v>
      </c>
      <c r="P26" s="480">
        <v>0.03</v>
      </c>
      <c r="Q26" s="464">
        <v>30756.38</v>
      </c>
      <c r="R26" s="480">
        <v>0.03</v>
      </c>
      <c r="S26" s="482">
        <v>14369.21</v>
      </c>
      <c r="T26" s="480">
        <v>0.01</v>
      </c>
      <c r="U26" s="464">
        <v>11269.47</v>
      </c>
      <c r="V26" s="480">
        <v>0.01</v>
      </c>
      <c r="W26" s="464">
        <v>11269.47</v>
      </c>
      <c r="X26" s="480">
        <v>0.01</v>
      </c>
      <c r="Y26" s="464">
        <v>11269.47</v>
      </c>
      <c r="Z26" s="480">
        <v>0.01</v>
      </c>
      <c r="AA26" s="464">
        <v>20190.47</v>
      </c>
      <c r="AB26" s="480">
        <v>0.02</v>
      </c>
      <c r="AC26" s="482">
        <v>8979.4699999999993</v>
      </c>
      <c r="AD26" s="480">
        <v>0.01</v>
      </c>
      <c r="AE26" s="464">
        <v>781.33</v>
      </c>
      <c r="AF26" s="480">
        <v>0</v>
      </c>
      <c r="AG26" s="464">
        <v>781.33</v>
      </c>
      <c r="AH26" s="480">
        <v>0</v>
      </c>
      <c r="AI26" s="464">
        <v>781.33</v>
      </c>
      <c r="AJ26" s="480">
        <v>0</v>
      </c>
      <c r="AK26" s="464">
        <v>781.33</v>
      </c>
      <c r="AL26" s="480">
        <v>0</v>
      </c>
      <c r="AM26" s="464">
        <v>781.33</v>
      </c>
      <c r="AN26" s="480">
        <v>0</v>
      </c>
      <c r="AO26" s="464">
        <v>781.33</v>
      </c>
      <c r="AP26" s="463" t="e">
        <f>ROUND('[59]160125'!B39/'[59]160125'!$D$122*100,2)</f>
        <v>#DIV/0!</v>
      </c>
      <c r="AQ26" s="464">
        <v>19511.580000000002</v>
      </c>
      <c r="AR26" s="463">
        <v>0.02</v>
      </c>
      <c r="AS26" s="482">
        <v>20652.580000000002</v>
      </c>
      <c r="AT26" s="463">
        <v>0.02</v>
      </c>
    </row>
    <row r="27" spans="1:46">
      <c r="A27" s="101"/>
      <c r="B27" s="478" t="s">
        <v>58</v>
      </c>
      <c r="C27" s="48">
        <v>3000000</v>
      </c>
      <c r="D27" s="480">
        <v>2.91</v>
      </c>
      <c r="E27" s="48">
        <v>3000000</v>
      </c>
      <c r="F27" s="480">
        <v>2.92</v>
      </c>
      <c r="G27" s="48">
        <v>3000000</v>
      </c>
      <c r="H27" s="480">
        <v>2.92</v>
      </c>
      <c r="I27" s="48">
        <v>3000000</v>
      </c>
      <c r="J27" s="480">
        <v>2.92</v>
      </c>
      <c r="K27" s="48">
        <v>3000000</v>
      </c>
      <c r="L27" s="480">
        <v>2.92</v>
      </c>
      <c r="M27" s="48">
        <v>3000000</v>
      </c>
      <c r="N27" s="480">
        <v>2.92</v>
      </c>
      <c r="O27" s="48">
        <v>3000000</v>
      </c>
      <c r="P27" s="480">
        <v>2.92</v>
      </c>
      <c r="Q27" s="48">
        <v>3000000</v>
      </c>
      <c r="R27" s="480">
        <v>2.92</v>
      </c>
      <c r="S27" s="48">
        <v>3000000</v>
      </c>
      <c r="T27" s="480">
        <v>2.92</v>
      </c>
      <c r="U27" s="48">
        <v>3000000</v>
      </c>
      <c r="V27" s="480">
        <v>2.92</v>
      </c>
      <c r="W27" s="48">
        <v>3000000</v>
      </c>
      <c r="X27" s="480">
        <v>2.92</v>
      </c>
      <c r="Y27" s="48">
        <v>3000000</v>
      </c>
      <c r="Z27" s="480">
        <v>2.92</v>
      </c>
      <c r="AA27" s="48">
        <v>3000000</v>
      </c>
      <c r="AB27" s="480">
        <v>2.91</v>
      </c>
      <c r="AC27" s="48">
        <v>3000000</v>
      </c>
      <c r="AD27" s="480">
        <v>2.91</v>
      </c>
      <c r="AE27" s="48">
        <v>3000000</v>
      </c>
      <c r="AF27" s="480">
        <v>2.91</v>
      </c>
      <c r="AG27" s="48">
        <v>3000000</v>
      </c>
      <c r="AH27" s="480">
        <v>2.91</v>
      </c>
      <c r="AI27" s="48">
        <v>3000000</v>
      </c>
      <c r="AJ27" s="480">
        <v>2.91</v>
      </c>
      <c r="AK27" s="48">
        <v>3000000</v>
      </c>
      <c r="AL27" s="480">
        <v>2.9000000000000004</v>
      </c>
      <c r="AM27" s="48">
        <v>3000000</v>
      </c>
      <c r="AN27" s="480">
        <v>2.89</v>
      </c>
      <c r="AO27" s="48">
        <v>3000000</v>
      </c>
      <c r="AP27" s="463" t="e">
        <f>ROUND('[59]160125'!B40/'[59]160125'!$D$122*100,2)</f>
        <v>#DIV/0!</v>
      </c>
      <c r="AQ27" s="48">
        <v>3000000</v>
      </c>
      <c r="AR27" s="463">
        <v>2.9</v>
      </c>
      <c r="AS27" s="48">
        <v>3000000</v>
      </c>
      <c r="AT27" s="463">
        <v>2.89</v>
      </c>
    </row>
    <row r="28" spans="1:46">
      <c r="A28" s="101"/>
      <c r="B28" s="478" t="s">
        <v>58</v>
      </c>
      <c r="C28" s="470">
        <v>1180000</v>
      </c>
      <c r="D28" s="480">
        <v>1.1499999999999999</v>
      </c>
      <c r="E28" s="470">
        <v>785000</v>
      </c>
      <c r="F28" s="480">
        <v>0.76</v>
      </c>
      <c r="G28" s="470">
        <v>785000</v>
      </c>
      <c r="H28" s="480">
        <v>0.76</v>
      </c>
      <c r="I28" s="470">
        <v>785000</v>
      </c>
      <c r="J28" s="480">
        <v>0.77</v>
      </c>
      <c r="K28" s="489">
        <v>785000</v>
      </c>
      <c r="L28" s="480">
        <v>0.77</v>
      </c>
      <c r="M28" s="489">
        <v>785000</v>
      </c>
      <c r="N28" s="480">
        <v>0.76</v>
      </c>
      <c r="O28" s="470">
        <v>1040000</v>
      </c>
      <c r="P28" s="480">
        <v>1.01</v>
      </c>
      <c r="Q28" s="489">
        <v>1040000</v>
      </c>
      <c r="R28" s="480">
        <v>1.01</v>
      </c>
      <c r="S28" s="489">
        <v>1040000</v>
      </c>
      <c r="T28" s="480">
        <v>1.01</v>
      </c>
      <c r="U28" s="489">
        <v>1040000</v>
      </c>
      <c r="V28" s="480">
        <v>1.01</v>
      </c>
      <c r="W28" s="470">
        <v>890000</v>
      </c>
      <c r="X28" s="480">
        <v>0.87</v>
      </c>
      <c r="Y28" s="470">
        <v>890000</v>
      </c>
      <c r="Z28" s="480">
        <v>0.87</v>
      </c>
      <c r="AA28" s="489">
        <v>890000</v>
      </c>
      <c r="AB28" s="480">
        <v>0.86</v>
      </c>
      <c r="AC28" s="489">
        <v>890000</v>
      </c>
      <c r="AD28" s="480">
        <v>0.86</v>
      </c>
      <c r="AE28" s="489">
        <v>890000</v>
      </c>
      <c r="AF28" s="480">
        <v>0.86</v>
      </c>
      <c r="AG28" s="470">
        <v>1290000</v>
      </c>
      <c r="AH28" s="480">
        <v>1.25</v>
      </c>
      <c r="AI28" s="489">
        <v>1290000</v>
      </c>
      <c r="AJ28" s="480">
        <v>1.25</v>
      </c>
      <c r="AK28" s="489">
        <v>1290000</v>
      </c>
      <c r="AL28" s="480">
        <v>1.25</v>
      </c>
      <c r="AM28" s="489">
        <v>1290000</v>
      </c>
      <c r="AN28" s="480">
        <v>1.25</v>
      </c>
      <c r="AO28" s="489">
        <v>1290000</v>
      </c>
      <c r="AP28" s="463" t="e">
        <f>ROUND('[59]160125'!B41/'[59]160125'!$D$122*100,2)</f>
        <v>#DIV/0!</v>
      </c>
      <c r="AQ28" s="464">
        <v>2005000</v>
      </c>
      <c r="AR28" s="463">
        <v>1.94</v>
      </c>
      <c r="AS28" s="464">
        <v>2005000</v>
      </c>
      <c r="AT28" s="463">
        <v>1.93</v>
      </c>
    </row>
    <row r="29" spans="1:46">
      <c r="A29" s="103"/>
      <c r="B29" s="478" t="s">
        <v>100</v>
      </c>
      <c r="C29" s="48">
        <v>2000000</v>
      </c>
      <c r="D29" s="480">
        <v>1.94</v>
      </c>
      <c r="E29" s="48">
        <v>2000000</v>
      </c>
      <c r="F29" s="480">
        <v>1.95</v>
      </c>
      <c r="G29" s="48">
        <v>2000000</v>
      </c>
      <c r="H29" s="480">
        <v>1.95</v>
      </c>
      <c r="I29" s="48">
        <v>2000000</v>
      </c>
      <c r="J29" s="480">
        <v>1.95</v>
      </c>
      <c r="K29" s="48">
        <v>2000000</v>
      </c>
      <c r="L29" s="480">
        <v>1.95</v>
      </c>
      <c r="M29" s="48">
        <v>2000000</v>
      </c>
      <c r="N29" s="480">
        <v>1.95</v>
      </c>
      <c r="O29" s="48">
        <v>2000000</v>
      </c>
      <c r="P29" s="480">
        <v>1.95</v>
      </c>
      <c r="Q29" s="48">
        <v>2000000</v>
      </c>
      <c r="R29" s="480">
        <v>1.95</v>
      </c>
      <c r="S29" s="48">
        <v>2000000</v>
      </c>
      <c r="T29" s="480">
        <v>1.95</v>
      </c>
      <c r="U29" s="48">
        <v>2000000</v>
      </c>
      <c r="V29" s="480">
        <v>1.95</v>
      </c>
      <c r="W29" s="48">
        <v>2000000</v>
      </c>
      <c r="X29" s="480">
        <v>1.94</v>
      </c>
      <c r="Y29" s="48">
        <v>2000000</v>
      </c>
      <c r="Z29" s="480">
        <v>1.95</v>
      </c>
      <c r="AA29" s="48">
        <v>2000000</v>
      </c>
      <c r="AB29" s="480">
        <v>1.94</v>
      </c>
      <c r="AC29" s="48">
        <v>2000000</v>
      </c>
      <c r="AD29" s="480">
        <v>1.94</v>
      </c>
      <c r="AE29" s="48">
        <v>2000000</v>
      </c>
      <c r="AF29" s="480">
        <v>1.94</v>
      </c>
      <c r="AG29" s="48">
        <v>2000000</v>
      </c>
      <c r="AH29" s="480">
        <v>1.94</v>
      </c>
      <c r="AI29" s="48">
        <v>2000000</v>
      </c>
      <c r="AJ29" s="480">
        <v>1.94</v>
      </c>
      <c r="AK29" s="48">
        <v>0</v>
      </c>
      <c r="AL29" s="480">
        <v>0</v>
      </c>
      <c r="AM29" s="501">
        <v>2000000</v>
      </c>
      <c r="AN29" s="480">
        <v>1.93</v>
      </c>
      <c r="AO29" s="48">
        <v>2000000</v>
      </c>
      <c r="AP29" s="502" t="e">
        <f>ROUND('[59]160125'!B42/'[59]160125'!$D$122*100,2)</f>
        <v>#DIV/0!</v>
      </c>
      <c r="AQ29" s="48">
        <v>2000000</v>
      </c>
      <c r="AR29" s="502">
        <v>1.94</v>
      </c>
      <c r="AS29" s="48">
        <v>2000000</v>
      </c>
      <c r="AT29" s="502">
        <v>1.93</v>
      </c>
    </row>
    <row r="30" spans="1:46">
      <c r="A30" s="103"/>
      <c r="B30" s="478" t="s">
        <v>103</v>
      </c>
      <c r="C30" s="48">
        <v>9000000</v>
      </c>
      <c r="D30" s="480">
        <v>8.73</v>
      </c>
      <c r="E30" s="48">
        <v>9000000</v>
      </c>
      <c r="F30" s="480">
        <v>8.77</v>
      </c>
      <c r="G30" s="48">
        <v>9000000</v>
      </c>
      <c r="H30" s="480">
        <v>8.77</v>
      </c>
      <c r="I30" s="48">
        <v>9000000</v>
      </c>
      <c r="J30" s="480">
        <v>8.77</v>
      </c>
      <c r="K30" s="48">
        <v>9000000</v>
      </c>
      <c r="L30" s="480">
        <v>8.76</v>
      </c>
      <c r="M30" s="48">
        <v>9000000</v>
      </c>
      <c r="N30" s="480">
        <v>8.77</v>
      </c>
      <c r="O30" s="48">
        <v>9000000</v>
      </c>
      <c r="P30" s="480">
        <v>8.76</v>
      </c>
      <c r="Q30" s="48">
        <v>9000000</v>
      </c>
      <c r="R30" s="480">
        <v>8.76</v>
      </c>
      <c r="S30" s="48">
        <v>9000000</v>
      </c>
      <c r="T30" s="480">
        <v>8.76</v>
      </c>
      <c r="U30" s="48">
        <v>9000000</v>
      </c>
      <c r="V30" s="480">
        <v>8.76</v>
      </c>
      <c r="W30" s="48">
        <v>9000000</v>
      </c>
      <c r="X30" s="480">
        <v>8.75</v>
      </c>
      <c r="Y30" s="48">
        <v>9000000</v>
      </c>
      <c r="Z30" s="480">
        <v>8.76</v>
      </c>
      <c r="AA30" s="48">
        <v>9000000</v>
      </c>
      <c r="AB30" s="480">
        <v>8.74</v>
      </c>
      <c r="AC30" s="48">
        <v>9000000</v>
      </c>
      <c r="AD30" s="480">
        <v>8.74</v>
      </c>
      <c r="AE30" s="48">
        <v>9000000</v>
      </c>
      <c r="AF30" s="480">
        <v>8.74</v>
      </c>
      <c r="AG30" s="48">
        <v>9000000</v>
      </c>
      <c r="AH30" s="480">
        <v>8.73</v>
      </c>
      <c r="AI30" s="48">
        <v>9000000</v>
      </c>
      <c r="AJ30" s="480">
        <v>8.7200000000000006</v>
      </c>
      <c r="AK30" s="48">
        <v>9000000</v>
      </c>
      <c r="AL30" s="480">
        <v>8.7200000000000006</v>
      </c>
      <c r="AM30" s="48">
        <v>9000000</v>
      </c>
      <c r="AN30" s="480">
        <v>8.6999999999999993</v>
      </c>
      <c r="AO30" s="48">
        <v>9000000</v>
      </c>
      <c r="AP30" s="463" t="e">
        <f>ROUND('[59]160125'!B43/'[59]160125'!$D$122*100,2)</f>
        <v>#DIV/0!</v>
      </c>
      <c r="AQ30" s="48">
        <v>9000000</v>
      </c>
      <c r="AR30" s="463">
        <v>8.7100000000000009</v>
      </c>
      <c r="AS30" s="48">
        <v>9000000</v>
      </c>
      <c r="AT30" s="463">
        <v>8.68</v>
      </c>
    </row>
    <row r="31" spans="1:46" ht="15.75" customHeight="1">
      <c r="A31" s="103"/>
      <c r="B31" s="478" t="s">
        <v>95</v>
      </c>
      <c r="C31" s="48">
        <v>2500000</v>
      </c>
      <c r="D31" s="480">
        <v>2.4300000000000002</v>
      </c>
      <c r="E31" s="48">
        <v>2500000</v>
      </c>
      <c r="F31" s="480">
        <v>2.44</v>
      </c>
      <c r="G31" s="48">
        <v>2500000</v>
      </c>
      <c r="H31" s="480">
        <v>2.4300000000000002</v>
      </c>
      <c r="I31" s="48">
        <v>2500000</v>
      </c>
      <c r="J31" s="480">
        <v>2.44</v>
      </c>
      <c r="K31" s="48">
        <v>2500000</v>
      </c>
      <c r="L31" s="480">
        <v>2.4300000000000002</v>
      </c>
      <c r="M31" s="48">
        <v>2500000</v>
      </c>
      <c r="N31" s="480">
        <v>2.44</v>
      </c>
      <c r="O31" s="48">
        <v>2500000</v>
      </c>
      <c r="P31" s="480">
        <v>2.4300000000000002</v>
      </c>
      <c r="Q31" s="48">
        <v>2500000</v>
      </c>
      <c r="R31" s="480">
        <v>2.4300000000000002</v>
      </c>
      <c r="S31" s="48">
        <v>2500000</v>
      </c>
      <c r="T31" s="480">
        <v>2.4300000000000002</v>
      </c>
      <c r="U31" s="48">
        <v>2500000</v>
      </c>
      <c r="V31" s="480">
        <v>2.4300000000000002</v>
      </c>
      <c r="W31" s="48">
        <v>2500000</v>
      </c>
      <c r="X31" s="480">
        <v>2.4300000000000002</v>
      </c>
      <c r="Y31" s="48">
        <v>2500000</v>
      </c>
      <c r="Z31" s="480">
        <v>2.4300000000000002</v>
      </c>
      <c r="AA31" s="48">
        <v>2500000</v>
      </c>
      <c r="AB31" s="480">
        <v>2.4300000000000002</v>
      </c>
      <c r="AC31" s="48">
        <v>2500000</v>
      </c>
      <c r="AD31" s="480">
        <v>2.4300000000000002</v>
      </c>
      <c r="AE31" s="48">
        <v>2500000</v>
      </c>
      <c r="AF31" s="480">
        <v>2.4300000000000002</v>
      </c>
      <c r="AG31" s="48">
        <v>2500000</v>
      </c>
      <c r="AH31" s="480">
        <v>2.4299999999999997</v>
      </c>
      <c r="AI31" s="48">
        <v>2500000</v>
      </c>
      <c r="AJ31" s="480">
        <v>2.42</v>
      </c>
      <c r="AK31" s="48">
        <v>2500000</v>
      </c>
      <c r="AL31" s="480">
        <v>2.42</v>
      </c>
      <c r="AM31" s="48">
        <v>2500000</v>
      </c>
      <c r="AN31" s="480">
        <v>2.42</v>
      </c>
      <c r="AO31" s="48">
        <v>2500000</v>
      </c>
      <c r="AP31" s="463" t="e">
        <f>ROUND('[59]160125'!B44/'[59]160125'!$D$122*100,2)</f>
        <v>#DIV/0!</v>
      </c>
      <c r="AQ31" s="48">
        <v>2500000</v>
      </c>
      <c r="AR31" s="463">
        <v>2.42</v>
      </c>
      <c r="AS31" s="48">
        <v>2500000</v>
      </c>
      <c r="AT31" s="463">
        <v>2.41</v>
      </c>
    </row>
    <row r="32" spans="1:46">
      <c r="A32" s="103"/>
      <c r="B32" s="478" t="s">
        <v>125</v>
      </c>
      <c r="C32" s="48">
        <v>4000000</v>
      </c>
      <c r="D32" s="480">
        <v>3.88</v>
      </c>
      <c r="E32" s="48">
        <v>4000000</v>
      </c>
      <c r="F32" s="480">
        <v>3.9</v>
      </c>
      <c r="G32" s="48">
        <v>4000000</v>
      </c>
      <c r="H32" s="480">
        <v>3.9</v>
      </c>
      <c r="I32" s="48">
        <v>4000000</v>
      </c>
      <c r="J32" s="480">
        <v>3.9</v>
      </c>
      <c r="K32" s="48">
        <v>4000000</v>
      </c>
      <c r="L32" s="480">
        <v>3.89</v>
      </c>
      <c r="M32" s="48">
        <v>4000000</v>
      </c>
      <c r="N32" s="480">
        <v>3.9</v>
      </c>
      <c r="O32" s="48">
        <v>4000000</v>
      </c>
      <c r="P32" s="480">
        <v>3.89</v>
      </c>
      <c r="Q32" s="48">
        <v>4000000</v>
      </c>
      <c r="R32" s="480">
        <v>3.9</v>
      </c>
      <c r="S32" s="48">
        <v>4000000</v>
      </c>
      <c r="T32" s="480">
        <v>3.89</v>
      </c>
      <c r="U32" s="48">
        <v>4000000</v>
      </c>
      <c r="V32" s="480">
        <v>3.89</v>
      </c>
      <c r="W32" s="48">
        <v>4000000</v>
      </c>
      <c r="X32" s="480">
        <v>3.89</v>
      </c>
      <c r="Y32" s="48">
        <v>4000000</v>
      </c>
      <c r="Z32" s="480">
        <v>3.89</v>
      </c>
      <c r="AA32" s="48">
        <v>4000000</v>
      </c>
      <c r="AB32" s="480">
        <v>3.88</v>
      </c>
      <c r="AC32" s="48">
        <v>4000000</v>
      </c>
      <c r="AD32" s="480">
        <v>3.88</v>
      </c>
      <c r="AE32" s="48">
        <v>4000000</v>
      </c>
      <c r="AF32" s="480">
        <v>3.88</v>
      </c>
      <c r="AG32" s="48">
        <v>4000000</v>
      </c>
      <c r="AH32" s="480">
        <v>3.88</v>
      </c>
      <c r="AI32" s="48">
        <v>4000000</v>
      </c>
      <c r="AJ32" s="480">
        <v>3.88</v>
      </c>
      <c r="AK32" s="48">
        <v>4000000</v>
      </c>
      <c r="AL32" s="480">
        <v>3.87</v>
      </c>
      <c r="AM32" s="48">
        <v>4000000</v>
      </c>
      <c r="AN32" s="480">
        <v>3.87</v>
      </c>
      <c r="AO32" s="48">
        <v>4000000</v>
      </c>
      <c r="AP32" s="463" t="e">
        <f>ROUND('[59]160125'!B45/'[59]160125'!$D$122*100,2)</f>
        <v>#DIV/0!</v>
      </c>
      <c r="AQ32" s="48">
        <v>4000000</v>
      </c>
      <c r="AR32" s="463">
        <v>3.87</v>
      </c>
      <c r="AS32" s="48">
        <v>4000000</v>
      </c>
      <c r="AT32" s="463">
        <v>3.86</v>
      </c>
    </row>
    <row r="33" spans="1:46">
      <c r="A33" s="103"/>
      <c r="B33" s="478" t="s">
        <v>125</v>
      </c>
      <c r="C33" s="48">
        <v>1000000</v>
      </c>
      <c r="D33" s="480">
        <v>0.97</v>
      </c>
      <c r="E33" s="48">
        <v>1000000</v>
      </c>
      <c r="F33" s="480">
        <v>0.97</v>
      </c>
      <c r="G33" s="48">
        <v>1000000</v>
      </c>
      <c r="H33" s="480">
        <v>0.97</v>
      </c>
      <c r="I33" s="48">
        <v>1000000</v>
      </c>
      <c r="J33" s="480">
        <v>0.97</v>
      </c>
      <c r="K33" s="48">
        <v>1000000</v>
      </c>
      <c r="L33" s="480">
        <v>0.97</v>
      </c>
      <c r="M33" s="48">
        <v>1000000</v>
      </c>
      <c r="N33" s="480">
        <v>0.97</v>
      </c>
      <c r="O33" s="48">
        <v>1000000</v>
      </c>
      <c r="P33" s="480">
        <v>0.97</v>
      </c>
      <c r="Q33" s="48">
        <v>1000000</v>
      </c>
      <c r="R33" s="480">
        <v>0.97</v>
      </c>
      <c r="S33" s="48">
        <v>1000000</v>
      </c>
      <c r="T33" s="480">
        <v>0.97</v>
      </c>
      <c r="U33" s="48">
        <v>1000000</v>
      </c>
      <c r="V33" s="480">
        <v>0.97</v>
      </c>
      <c r="W33" s="48">
        <v>1000000</v>
      </c>
      <c r="X33" s="480">
        <v>0.97</v>
      </c>
      <c r="Y33" s="48">
        <v>1000000</v>
      </c>
      <c r="Z33" s="480">
        <v>0.97</v>
      </c>
      <c r="AA33" s="48">
        <v>1000000</v>
      </c>
      <c r="AB33" s="480">
        <v>0.97</v>
      </c>
      <c r="AC33" s="48">
        <v>1000000</v>
      </c>
      <c r="AD33" s="480">
        <v>0.97</v>
      </c>
      <c r="AE33" s="48">
        <v>1000000</v>
      </c>
      <c r="AF33" s="480">
        <v>0.97</v>
      </c>
      <c r="AG33" s="48">
        <v>1000000</v>
      </c>
      <c r="AH33" s="480">
        <v>0.97</v>
      </c>
      <c r="AI33" s="48">
        <v>1000000</v>
      </c>
      <c r="AJ33" s="480">
        <v>0.97</v>
      </c>
      <c r="AK33" s="48">
        <v>1000000</v>
      </c>
      <c r="AL33" s="480">
        <v>0.97</v>
      </c>
      <c r="AM33" s="48">
        <v>1000000</v>
      </c>
      <c r="AN33" s="480">
        <v>0.97</v>
      </c>
      <c r="AO33" s="48">
        <v>1000000</v>
      </c>
      <c r="AP33" s="463" t="e">
        <f>ROUND('[59]160125'!B46/'[59]160125'!$D$122*100,2)</f>
        <v>#DIV/0!</v>
      </c>
      <c r="AQ33" s="48">
        <v>1000000</v>
      </c>
      <c r="AR33" s="463">
        <v>0.97</v>
      </c>
      <c r="AS33" s="48">
        <v>1000000</v>
      </c>
      <c r="AT33" s="463">
        <v>0.96</v>
      </c>
    </row>
    <row r="34" spans="1:46" ht="16.5" customHeight="1" thickBot="1">
      <c r="A34" s="101" t="s">
        <v>47</v>
      </c>
      <c r="B34" s="478" t="s">
        <v>104</v>
      </c>
      <c r="C34" s="456">
        <v>2000000</v>
      </c>
      <c r="D34" s="481">
        <v>1.94</v>
      </c>
      <c r="E34" s="456">
        <v>2000000</v>
      </c>
      <c r="F34" s="481">
        <v>1.95</v>
      </c>
      <c r="G34" s="456">
        <v>2000000</v>
      </c>
      <c r="H34" s="481">
        <v>1.95</v>
      </c>
      <c r="I34" s="456">
        <v>2000000</v>
      </c>
      <c r="J34" s="481">
        <v>1.95</v>
      </c>
      <c r="K34" s="456">
        <v>2000000</v>
      </c>
      <c r="L34" s="481">
        <v>1.95</v>
      </c>
      <c r="M34" s="456">
        <v>2000000</v>
      </c>
      <c r="N34" s="481">
        <v>1.95</v>
      </c>
      <c r="O34" s="456">
        <v>2000000</v>
      </c>
      <c r="P34" s="481">
        <v>1.95</v>
      </c>
      <c r="Q34" s="456">
        <v>2000000</v>
      </c>
      <c r="R34" s="481">
        <v>1.95</v>
      </c>
      <c r="S34" s="456">
        <v>2000000</v>
      </c>
      <c r="T34" s="481">
        <v>1.95</v>
      </c>
      <c r="U34" s="456">
        <v>2000000</v>
      </c>
      <c r="V34" s="481">
        <v>1.95</v>
      </c>
      <c r="W34" s="456">
        <v>2000000</v>
      </c>
      <c r="X34" s="481">
        <v>1.94</v>
      </c>
      <c r="Y34" s="456">
        <v>2000000</v>
      </c>
      <c r="Z34" s="481">
        <v>1.95</v>
      </c>
      <c r="AA34" s="456">
        <v>2000000</v>
      </c>
      <c r="AB34" s="481">
        <v>1.94</v>
      </c>
      <c r="AC34" s="456">
        <v>2000000</v>
      </c>
      <c r="AD34" s="481">
        <v>1.94</v>
      </c>
      <c r="AE34" s="456">
        <v>2000000</v>
      </c>
      <c r="AF34" s="481">
        <v>1.94</v>
      </c>
      <c r="AG34" s="456">
        <v>2000000</v>
      </c>
      <c r="AH34" s="481">
        <v>1.94</v>
      </c>
      <c r="AI34" s="456">
        <v>2000000</v>
      </c>
      <c r="AJ34" s="481">
        <v>1.94</v>
      </c>
      <c r="AK34" s="456">
        <v>2000000</v>
      </c>
      <c r="AL34" s="481">
        <v>1.94</v>
      </c>
      <c r="AM34" s="456">
        <v>2000000</v>
      </c>
      <c r="AN34" s="481">
        <v>1.93</v>
      </c>
      <c r="AO34" s="456">
        <v>2000000</v>
      </c>
      <c r="AP34" s="463" t="e">
        <f>ROUND('[59]160125'!B47/'[59]160125'!$D$122*100,2)</f>
        <v>#DIV/0!</v>
      </c>
      <c r="AQ34" s="456">
        <v>2000000</v>
      </c>
      <c r="AR34" s="463">
        <v>1.93</v>
      </c>
      <c r="AS34" s="456">
        <v>2000000</v>
      </c>
      <c r="AT34" s="463">
        <v>1.93</v>
      </c>
    </row>
    <row r="35" spans="1:46" ht="16.5" thickBot="1">
      <c r="A35" s="1028" t="s">
        <v>111</v>
      </c>
      <c r="B35" s="1028"/>
      <c r="C35" s="408">
        <f t="shared" ref="C35:AT35" si="3">SUM(C23:C34)</f>
        <v>24845846.870000001</v>
      </c>
      <c r="D35" s="408">
        <f t="shared" si="3"/>
        <v>24.12</v>
      </c>
      <c r="E35" s="408">
        <f t="shared" si="3"/>
        <v>24303542.439999998</v>
      </c>
      <c r="F35" s="408">
        <f t="shared" si="3"/>
        <v>23.679999999999996</v>
      </c>
      <c r="G35" s="408">
        <f t="shared" si="3"/>
        <v>24316180.84</v>
      </c>
      <c r="H35" s="408">
        <f t="shared" si="3"/>
        <v>23.679999999999996</v>
      </c>
      <c r="I35" s="408">
        <f t="shared" si="3"/>
        <v>24317502.25</v>
      </c>
      <c r="J35" s="408">
        <f t="shared" si="3"/>
        <v>23.699999999999996</v>
      </c>
      <c r="K35" s="408">
        <f t="shared" si="3"/>
        <v>24323815.25</v>
      </c>
      <c r="L35" s="408">
        <f t="shared" si="3"/>
        <v>23.68</v>
      </c>
      <c r="M35" s="408">
        <f t="shared" si="3"/>
        <v>24506027.25</v>
      </c>
      <c r="N35" s="408">
        <f t="shared" si="3"/>
        <v>23.869999999999997</v>
      </c>
      <c r="O35" s="408">
        <f t="shared" si="3"/>
        <v>24597584.329999998</v>
      </c>
      <c r="P35" s="408">
        <f t="shared" si="3"/>
        <v>23.939999999999998</v>
      </c>
      <c r="Q35" s="408">
        <f t="shared" si="3"/>
        <v>24603235.280000001</v>
      </c>
      <c r="R35" s="408">
        <f t="shared" si="3"/>
        <v>23.949999999999996</v>
      </c>
      <c r="S35" s="408">
        <f t="shared" si="3"/>
        <v>24586848.109999999</v>
      </c>
      <c r="T35" s="408">
        <f t="shared" si="3"/>
        <v>23.919999999999998</v>
      </c>
      <c r="U35" s="408">
        <f t="shared" si="3"/>
        <v>32730680.629999999</v>
      </c>
      <c r="V35" s="408">
        <f t="shared" si="3"/>
        <v>31.849999999999998</v>
      </c>
      <c r="W35" s="408">
        <f t="shared" si="3"/>
        <v>24417352.629999999</v>
      </c>
      <c r="X35" s="408">
        <f t="shared" si="3"/>
        <v>23.740000000000002</v>
      </c>
      <c r="Y35" s="408">
        <f t="shared" si="3"/>
        <v>24417352.629999999</v>
      </c>
      <c r="Z35" s="408">
        <f t="shared" si="3"/>
        <v>23.759999999999998</v>
      </c>
      <c r="AA35" s="408">
        <f t="shared" si="3"/>
        <v>24426273.629999999</v>
      </c>
      <c r="AB35" s="408">
        <f t="shared" si="3"/>
        <v>23.71</v>
      </c>
      <c r="AC35" s="408">
        <f t="shared" si="3"/>
        <v>24415062.629999999</v>
      </c>
      <c r="AD35" s="408">
        <f t="shared" si="3"/>
        <v>23.7</v>
      </c>
      <c r="AE35" s="408">
        <f t="shared" si="3"/>
        <v>24795726.490000002</v>
      </c>
      <c r="AF35" s="408">
        <f t="shared" si="3"/>
        <v>24.06</v>
      </c>
      <c r="AG35" s="408">
        <f t="shared" si="3"/>
        <v>24795726.490000002</v>
      </c>
      <c r="AH35" s="408">
        <f t="shared" si="3"/>
        <v>24.049999999999997</v>
      </c>
      <c r="AI35" s="408">
        <f t="shared" si="3"/>
        <v>24795726.490000002</v>
      </c>
      <c r="AJ35" s="408">
        <f t="shared" si="3"/>
        <v>24.03</v>
      </c>
      <c r="AK35" s="408">
        <f t="shared" si="3"/>
        <v>24822127.550000001</v>
      </c>
      <c r="AL35" s="408">
        <f t="shared" si="3"/>
        <v>24.04</v>
      </c>
      <c r="AM35" s="408">
        <f t="shared" si="3"/>
        <v>24822127.550000001</v>
      </c>
      <c r="AN35" s="408">
        <f t="shared" si="3"/>
        <v>23.99</v>
      </c>
      <c r="AO35" s="408">
        <f t="shared" si="3"/>
        <v>25508527.550000001</v>
      </c>
      <c r="AP35" s="408" t="e">
        <f t="shared" si="3"/>
        <v>#DIV/0!</v>
      </c>
      <c r="AQ35" s="408">
        <f t="shared" si="3"/>
        <v>25527257.800000001</v>
      </c>
      <c r="AR35" s="408">
        <f t="shared" si="3"/>
        <v>24.7</v>
      </c>
      <c r="AS35" s="408">
        <f t="shared" si="3"/>
        <v>25528398.800000001</v>
      </c>
      <c r="AT35" s="408">
        <f t="shared" si="3"/>
        <v>24.61</v>
      </c>
    </row>
    <row r="36" spans="1:46" ht="16.5" thickBot="1">
      <c r="A36" s="1029" t="s">
        <v>48</v>
      </c>
      <c r="B36" s="1030"/>
      <c r="C36" s="409"/>
      <c r="D36" s="432"/>
      <c r="E36" s="409"/>
      <c r="F36" s="432"/>
      <c r="G36" s="409"/>
      <c r="H36" s="432"/>
      <c r="I36" s="409"/>
      <c r="J36" s="432"/>
      <c r="K36" s="409"/>
      <c r="L36" s="432"/>
      <c r="M36" s="409"/>
      <c r="N36" s="432"/>
      <c r="O36" s="409"/>
      <c r="P36" s="432"/>
      <c r="Q36" s="409"/>
      <c r="R36" s="432"/>
      <c r="S36" s="409"/>
      <c r="T36" s="432"/>
      <c r="U36" s="409"/>
      <c r="V36" s="432"/>
      <c r="W36" s="409"/>
      <c r="X36" s="432"/>
      <c r="Y36" s="409"/>
      <c r="Z36" s="432"/>
      <c r="AA36" s="409"/>
      <c r="AB36" s="432"/>
      <c r="AC36" s="409"/>
      <c r="AD36" s="432"/>
      <c r="AE36" s="409"/>
      <c r="AF36" s="432"/>
      <c r="AG36" s="409"/>
      <c r="AH36" s="432"/>
      <c r="AI36" s="409"/>
      <c r="AJ36" s="432"/>
      <c r="AK36" s="409"/>
      <c r="AL36" s="432"/>
      <c r="AM36" s="409"/>
      <c r="AN36" s="432"/>
      <c r="AO36" s="409"/>
      <c r="AP36" s="432"/>
      <c r="AQ36" s="409"/>
      <c r="AR36" s="432"/>
      <c r="AS36" s="409"/>
      <c r="AT36" s="432"/>
    </row>
    <row r="37" spans="1:46" ht="16.5" thickBot="1">
      <c r="A37" s="1031" t="s">
        <v>111</v>
      </c>
      <c r="B37" s="1031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</row>
    <row r="38" spans="1:46">
      <c r="A38" s="114" t="s">
        <v>67</v>
      </c>
      <c r="B38" s="115" t="s">
        <v>74</v>
      </c>
      <c r="C38" s="436"/>
      <c r="D38" s="436"/>
      <c r="E38" s="436">
        <v>300</v>
      </c>
      <c r="F38" s="436"/>
      <c r="G38" s="436">
        <v>300</v>
      </c>
      <c r="H38" s="436"/>
      <c r="I38" s="436">
        <v>300</v>
      </c>
      <c r="J38" s="436"/>
      <c r="K38" s="436">
        <v>300</v>
      </c>
      <c r="L38" s="436"/>
      <c r="M38" s="436">
        <v>300</v>
      </c>
      <c r="N38" s="436"/>
      <c r="O38" s="436">
        <v>300</v>
      </c>
      <c r="P38" s="436"/>
      <c r="Q38" s="436">
        <v>300</v>
      </c>
      <c r="R38" s="436"/>
      <c r="S38" s="436">
        <v>300</v>
      </c>
      <c r="T38" s="436"/>
      <c r="U38" s="436">
        <v>300</v>
      </c>
      <c r="V38" s="436"/>
      <c r="W38" s="436">
        <v>300</v>
      </c>
      <c r="X38" s="436"/>
      <c r="Y38" s="436">
        <v>300</v>
      </c>
      <c r="Z38" s="436"/>
      <c r="AA38" s="436">
        <v>300</v>
      </c>
      <c r="AB38" s="436"/>
      <c r="AC38" s="436">
        <v>300</v>
      </c>
      <c r="AD38" s="436"/>
      <c r="AE38" s="436">
        <v>300</v>
      </c>
      <c r="AF38" s="436"/>
      <c r="AG38" s="436">
        <v>300</v>
      </c>
      <c r="AH38" s="436"/>
      <c r="AI38" s="436">
        <v>300</v>
      </c>
      <c r="AJ38" s="436"/>
      <c r="AK38" s="436">
        <v>300</v>
      </c>
      <c r="AL38" s="436"/>
      <c r="AM38" s="436">
        <v>300</v>
      </c>
      <c r="AN38" s="436"/>
      <c r="AO38" s="436">
        <v>300</v>
      </c>
      <c r="AP38" s="436"/>
      <c r="AQ38" s="436">
        <v>300</v>
      </c>
      <c r="AR38" s="436"/>
      <c r="AS38" s="436"/>
      <c r="AT38" s="436"/>
    </row>
    <row r="39" spans="1:46" ht="47.25">
      <c r="A39" s="122" t="s">
        <v>58</v>
      </c>
      <c r="B39" s="123" t="s">
        <v>75</v>
      </c>
      <c r="C39" s="473">
        <v>27013.35</v>
      </c>
      <c r="D39" s="433">
        <v>0.03</v>
      </c>
      <c r="E39" s="473">
        <v>28141.919999999998</v>
      </c>
      <c r="F39" s="433">
        <v>0.03</v>
      </c>
      <c r="G39" s="473">
        <v>29834.79</v>
      </c>
      <c r="H39" s="433">
        <v>0.03</v>
      </c>
      <c r="I39" s="473">
        <v>30399.07</v>
      </c>
      <c r="J39" s="433">
        <v>0.03</v>
      </c>
      <c r="K39" s="473">
        <v>30963.360000000001</v>
      </c>
      <c r="L39" s="433">
        <v>0.03</v>
      </c>
      <c r="M39" s="473">
        <v>31527.65</v>
      </c>
      <c r="N39" s="433">
        <v>0.03</v>
      </c>
      <c r="O39" s="473">
        <v>32091.94</v>
      </c>
      <c r="P39" s="433">
        <v>0.03</v>
      </c>
      <c r="Q39" s="473">
        <v>33784.800000000003</v>
      </c>
      <c r="R39" s="433">
        <v>0.03</v>
      </c>
      <c r="S39" s="473">
        <v>34349.089999999997</v>
      </c>
      <c r="T39" s="433">
        <v>0.03</v>
      </c>
      <c r="U39" s="473">
        <v>34913.379999999997</v>
      </c>
      <c r="V39" s="433">
        <v>0.03</v>
      </c>
      <c r="W39" s="473">
        <v>35477.660000000003</v>
      </c>
      <c r="X39" s="433">
        <v>0.03</v>
      </c>
      <c r="Y39" s="473">
        <v>36041.949999999997</v>
      </c>
      <c r="Z39" s="433">
        <v>0.03</v>
      </c>
      <c r="AA39" s="473">
        <v>37734.81</v>
      </c>
      <c r="AB39" s="433">
        <v>0.03</v>
      </c>
      <c r="AC39" s="473">
        <v>38299.1</v>
      </c>
      <c r="AD39" s="433">
        <v>0.04</v>
      </c>
      <c r="AE39" s="473">
        <v>38863.39</v>
      </c>
      <c r="AF39" s="433">
        <v>0.04</v>
      </c>
      <c r="AG39" s="473">
        <v>39427.68</v>
      </c>
      <c r="AH39" s="433">
        <v>0.04</v>
      </c>
      <c r="AI39" s="473">
        <v>39991.96</v>
      </c>
      <c r="AJ39" s="433">
        <v>0.04</v>
      </c>
      <c r="AK39" s="473">
        <v>41684.83</v>
      </c>
      <c r="AL39" s="433">
        <v>0.04</v>
      </c>
      <c r="AM39" s="473">
        <v>42249.11</v>
      </c>
      <c r="AN39" s="433">
        <v>0.04</v>
      </c>
      <c r="AO39" s="473">
        <v>42813.4</v>
      </c>
      <c r="AP39" s="433">
        <v>0.04</v>
      </c>
      <c r="AQ39" s="473">
        <v>43377.69</v>
      </c>
      <c r="AR39" s="433">
        <v>0.04</v>
      </c>
      <c r="AS39" s="511">
        <v>43941.98</v>
      </c>
      <c r="AT39" s="433">
        <v>0.04</v>
      </c>
    </row>
    <row r="40" spans="1:46" ht="16.5" thickBot="1">
      <c r="A40" s="122"/>
      <c r="B40" s="123"/>
      <c r="C40" s="473"/>
      <c r="D40" s="509"/>
      <c r="E40" s="473"/>
      <c r="F40" s="509"/>
      <c r="G40" s="473"/>
      <c r="H40" s="509"/>
      <c r="I40" s="473"/>
      <c r="J40" s="509"/>
      <c r="K40" s="473"/>
      <c r="L40" s="509"/>
      <c r="M40" s="473"/>
      <c r="N40" s="509"/>
      <c r="O40" s="473"/>
      <c r="P40" s="509"/>
      <c r="Q40" s="473"/>
      <c r="R40" s="509"/>
      <c r="S40" s="473"/>
      <c r="T40" s="509"/>
      <c r="U40" s="473"/>
      <c r="V40" s="509"/>
      <c r="W40" s="473"/>
      <c r="X40" s="509"/>
      <c r="Y40" s="473"/>
      <c r="Z40" s="509"/>
      <c r="AA40" s="473"/>
      <c r="AB40" s="509"/>
      <c r="AC40" s="473"/>
      <c r="AD40" s="509"/>
      <c r="AE40" s="473"/>
      <c r="AF40" s="509"/>
      <c r="AG40" s="473"/>
      <c r="AH40" s="509"/>
      <c r="AI40" s="473"/>
      <c r="AJ40" s="509"/>
      <c r="AK40" s="473"/>
      <c r="AL40" s="509"/>
      <c r="AM40" s="473"/>
      <c r="AN40" s="509"/>
      <c r="AO40" s="473"/>
      <c r="AP40" s="509"/>
      <c r="AQ40" s="473"/>
      <c r="AR40" s="509"/>
      <c r="AS40" s="511">
        <v>409.4</v>
      </c>
      <c r="AT40" s="509"/>
    </row>
    <row r="41" spans="1:46" ht="16.5" thickBot="1">
      <c r="A41" s="122" t="s">
        <v>101</v>
      </c>
      <c r="B41" s="123" t="s">
        <v>57</v>
      </c>
      <c r="C41" s="423">
        <v>1928430.66</v>
      </c>
      <c r="D41" s="434">
        <v>1.87</v>
      </c>
      <c r="E41" s="423">
        <v>1920941.61</v>
      </c>
      <c r="F41" s="434">
        <v>1.87</v>
      </c>
      <c r="G41" s="423">
        <v>1909708.03</v>
      </c>
      <c r="H41" s="434">
        <v>1.86</v>
      </c>
      <c r="I41" s="423">
        <v>1905963.5</v>
      </c>
      <c r="J41" s="434">
        <v>1.86</v>
      </c>
      <c r="K41" s="423">
        <v>1902218.98</v>
      </c>
      <c r="L41" s="434">
        <v>1.85</v>
      </c>
      <c r="M41" s="423">
        <v>1898474.45</v>
      </c>
      <c r="N41" s="434">
        <v>1.85</v>
      </c>
      <c r="O41" s="423">
        <v>1894729.93</v>
      </c>
      <c r="P41" s="434">
        <v>1.84</v>
      </c>
      <c r="Q41" s="423">
        <v>1883496.35</v>
      </c>
      <c r="R41" s="434">
        <v>1.83</v>
      </c>
      <c r="S41" s="423">
        <v>1879751.82</v>
      </c>
      <c r="T41" s="434">
        <v>1.82</v>
      </c>
      <c r="U41" s="423">
        <v>1876007.3</v>
      </c>
      <c r="V41" s="434">
        <v>1.83</v>
      </c>
      <c r="W41" s="423">
        <v>1872262.77</v>
      </c>
      <c r="X41" s="434">
        <v>1.82</v>
      </c>
      <c r="Y41" s="423">
        <v>1868518.25</v>
      </c>
      <c r="Z41" s="434">
        <v>1.82</v>
      </c>
      <c r="AA41" s="423">
        <v>1857284.67</v>
      </c>
      <c r="AB41" s="434">
        <v>1.8</v>
      </c>
      <c r="AC41" s="423">
        <v>1853540.15</v>
      </c>
      <c r="AD41" s="434">
        <v>1.8</v>
      </c>
      <c r="AE41" s="423">
        <v>1849795.62</v>
      </c>
      <c r="AF41" s="434">
        <v>1.8</v>
      </c>
      <c r="AG41" s="423">
        <v>1846051.09</v>
      </c>
      <c r="AH41" s="434">
        <v>1.79</v>
      </c>
      <c r="AI41" s="423">
        <v>1842306.57</v>
      </c>
      <c r="AJ41" s="434">
        <v>1.79</v>
      </c>
      <c r="AK41" s="423">
        <v>1831072.99</v>
      </c>
      <c r="AL41" s="434">
        <v>1.77</v>
      </c>
      <c r="AM41" s="423">
        <v>1827328.47</v>
      </c>
      <c r="AN41" s="434">
        <v>1.77</v>
      </c>
      <c r="AO41" s="423">
        <v>1823583.94</v>
      </c>
      <c r="AP41" s="434">
        <v>1.77</v>
      </c>
      <c r="AQ41" s="423">
        <v>1819839.42</v>
      </c>
      <c r="AR41" s="434">
        <v>1.76</v>
      </c>
      <c r="AS41" s="515">
        <v>1816094.89</v>
      </c>
      <c r="AT41" s="434">
        <v>1.75</v>
      </c>
    </row>
    <row r="42" spans="1:46" ht="16.5" thickBot="1">
      <c r="A42" s="122" t="s">
        <v>29</v>
      </c>
      <c r="B42" s="123" t="s">
        <v>57</v>
      </c>
      <c r="C42" s="411"/>
      <c r="D42" s="436"/>
      <c r="E42" s="411"/>
      <c r="F42" s="436"/>
      <c r="G42" s="411"/>
      <c r="H42" s="436"/>
      <c r="I42" s="411"/>
      <c r="J42" s="436"/>
      <c r="K42" s="411"/>
      <c r="L42" s="436"/>
      <c r="M42" s="411"/>
      <c r="N42" s="436"/>
      <c r="O42" s="411"/>
      <c r="P42" s="436"/>
      <c r="Q42" s="411"/>
      <c r="R42" s="436"/>
      <c r="S42" s="411"/>
      <c r="T42" s="436"/>
      <c r="U42" s="411"/>
      <c r="V42" s="436"/>
      <c r="W42" s="411"/>
      <c r="X42" s="436"/>
      <c r="Y42" s="411"/>
      <c r="Z42" s="436"/>
      <c r="AA42" s="411"/>
      <c r="AB42" s="436"/>
      <c r="AC42" s="411"/>
      <c r="AD42" s="436"/>
      <c r="AE42" s="411"/>
      <c r="AF42" s="436"/>
      <c r="AG42" s="411"/>
      <c r="AH42" s="436"/>
      <c r="AI42" s="411"/>
      <c r="AJ42" s="436"/>
      <c r="AK42" s="411"/>
      <c r="AL42" s="436"/>
      <c r="AM42" s="411"/>
      <c r="AN42" s="436"/>
      <c r="AO42" s="411"/>
      <c r="AP42" s="436"/>
      <c r="AQ42" s="411"/>
      <c r="AR42" s="436"/>
      <c r="AS42" s="411"/>
      <c r="AT42" s="436"/>
    </row>
    <row r="43" spans="1:46" ht="16.5" thickBot="1">
      <c r="A43" s="122" t="s">
        <v>37</v>
      </c>
      <c r="B43" s="123" t="s">
        <v>57</v>
      </c>
      <c r="C43" s="435"/>
      <c r="D43" s="436"/>
      <c r="E43" s="435"/>
      <c r="F43" s="436"/>
      <c r="G43" s="435"/>
      <c r="H43" s="436"/>
      <c r="I43" s="435"/>
      <c r="J43" s="436"/>
      <c r="K43" s="435"/>
      <c r="L43" s="436"/>
      <c r="M43" s="435"/>
      <c r="N43" s="436"/>
      <c r="O43" s="435"/>
      <c r="P43" s="436"/>
      <c r="Q43" s="435"/>
      <c r="R43" s="436"/>
      <c r="S43" s="435"/>
      <c r="T43" s="436"/>
      <c r="U43" s="435"/>
      <c r="V43" s="436"/>
      <c r="W43" s="435"/>
      <c r="X43" s="436"/>
      <c r="Y43" s="435"/>
      <c r="Z43" s="436"/>
      <c r="AA43" s="435"/>
      <c r="AB43" s="436"/>
      <c r="AC43" s="435"/>
      <c r="AD43" s="436"/>
      <c r="AE43" s="435"/>
      <c r="AF43" s="436"/>
      <c r="AG43" s="435"/>
      <c r="AH43" s="436"/>
      <c r="AI43" s="435"/>
      <c r="AJ43" s="436"/>
      <c r="AK43" s="435"/>
      <c r="AL43" s="436"/>
      <c r="AM43" s="435"/>
      <c r="AN43" s="436"/>
      <c r="AO43" s="435"/>
      <c r="AP43" s="436"/>
      <c r="AQ43" s="435"/>
      <c r="AR43" s="436"/>
      <c r="AS43" s="435"/>
      <c r="AT43" s="436"/>
    </row>
    <row r="44" spans="1:46">
      <c r="A44" s="122" t="s">
        <v>68</v>
      </c>
      <c r="B44" s="123" t="s">
        <v>57</v>
      </c>
      <c r="C44" s="437">
        <v>1063294.01</v>
      </c>
      <c r="D44" s="434">
        <v>1.02</v>
      </c>
      <c r="E44" s="437">
        <v>1060347.92</v>
      </c>
      <c r="F44" s="434">
        <v>1.04</v>
      </c>
      <c r="G44" s="437">
        <v>1055928.77</v>
      </c>
      <c r="H44" s="434">
        <v>1.02</v>
      </c>
      <c r="I44" s="437">
        <v>1054455.7100000002</v>
      </c>
      <c r="J44" s="434">
        <v>1.02</v>
      </c>
      <c r="K44" s="437">
        <v>1052982.6400000001</v>
      </c>
      <c r="L44" s="434">
        <v>1.02</v>
      </c>
      <c r="M44" s="492">
        <v>1051509.6000000001</v>
      </c>
      <c r="N44" s="434">
        <v>1.02</v>
      </c>
      <c r="O44" s="492">
        <v>1050036.5400000003</v>
      </c>
      <c r="P44" s="434">
        <v>1.02</v>
      </c>
      <c r="Q44" s="492">
        <v>1045617.3899999999</v>
      </c>
      <c r="R44" s="434">
        <v>1.01</v>
      </c>
      <c r="S44" s="492">
        <v>1044144.3400000001</v>
      </c>
      <c r="T44" s="434">
        <v>1.01</v>
      </c>
      <c r="U44" s="492">
        <v>1042671.2799999999</v>
      </c>
      <c r="V44" s="434">
        <v>1.01</v>
      </c>
      <c r="W44" s="492">
        <v>1041198.23</v>
      </c>
      <c r="X44" s="434">
        <v>1.01</v>
      </c>
      <c r="Y44" s="492">
        <v>1039725.1699999999</v>
      </c>
      <c r="Z44" s="434">
        <v>1.01</v>
      </c>
      <c r="AA44" s="492">
        <v>1035306</v>
      </c>
      <c r="AB44" s="434">
        <v>1.01</v>
      </c>
      <c r="AC44" s="492">
        <v>1033832.9700000002</v>
      </c>
      <c r="AD44" s="434">
        <v>1</v>
      </c>
      <c r="AE44" s="492">
        <v>1032359.9099999999</v>
      </c>
      <c r="AF44" s="434">
        <v>1</v>
      </c>
      <c r="AG44" s="492">
        <v>1030886.85</v>
      </c>
      <c r="AH44" s="434">
        <v>1</v>
      </c>
      <c r="AI44" s="492">
        <v>1029413.8</v>
      </c>
      <c r="AJ44" s="434">
        <v>0.99</v>
      </c>
      <c r="AK44" s="492">
        <v>1024994.6399999999</v>
      </c>
      <c r="AL44" s="434">
        <v>1</v>
      </c>
      <c r="AM44" s="492">
        <v>1023521.5800000001</v>
      </c>
      <c r="AN44" s="434">
        <v>1</v>
      </c>
      <c r="AO44" s="503">
        <v>1022048.5399999999</v>
      </c>
      <c r="AP44" s="434">
        <v>0.99</v>
      </c>
      <c r="AQ44" s="503">
        <v>1020575.49</v>
      </c>
      <c r="AR44" s="434">
        <v>0.99</v>
      </c>
      <c r="AS44" s="516">
        <v>1019102.43</v>
      </c>
      <c r="AT44" s="434">
        <v>0.98</v>
      </c>
    </row>
    <row r="45" spans="1:46">
      <c r="A45" s="129" t="s">
        <v>69</v>
      </c>
      <c r="B45" s="123" t="s">
        <v>57</v>
      </c>
      <c r="C45" s="438"/>
      <c r="D45" s="433"/>
      <c r="E45" s="438"/>
      <c r="F45" s="433"/>
      <c r="G45" s="438"/>
      <c r="H45" s="433"/>
      <c r="I45" s="438"/>
      <c r="J45" s="433"/>
      <c r="K45" s="438"/>
      <c r="L45" s="433"/>
      <c r="M45" s="438"/>
      <c r="N45" s="433"/>
      <c r="O45" s="438"/>
      <c r="P45" s="433"/>
      <c r="Q45" s="438"/>
      <c r="R45" s="433"/>
      <c r="S45" s="438"/>
      <c r="T45" s="433"/>
      <c r="U45" s="438"/>
      <c r="V45" s="433"/>
      <c r="W45" s="438"/>
      <c r="X45" s="433"/>
      <c r="Y45" s="438"/>
      <c r="Z45" s="433"/>
      <c r="AA45" s="438"/>
      <c r="AB45" s="433"/>
      <c r="AC45" s="438"/>
      <c r="AD45" s="433"/>
      <c r="AE45" s="438"/>
      <c r="AF45" s="433"/>
      <c r="AG45" s="438"/>
      <c r="AH45" s="433"/>
      <c r="AI45" s="438"/>
      <c r="AJ45" s="433"/>
      <c r="AK45" s="438"/>
      <c r="AL45" s="433"/>
      <c r="AM45" s="438"/>
      <c r="AN45" s="433"/>
      <c r="AO45" s="438"/>
      <c r="AP45" s="433"/>
      <c r="AQ45" s="438"/>
      <c r="AR45" s="433"/>
      <c r="AS45" s="438"/>
      <c r="AT45" s="433"/>
    </row>
    <row r="46" spans="1:46" ht="48" thickBot="1">
      <c r="A46" s="122" t="s">
        <v>70</v>
      </c>
      <c r="B46" s="123" t="s">
        <v>76</v>
      </c>
      <c r="C46" s="445">
        <v>2208900</v>
      </c>
      <c r="D46" s="439">
        <v>2.15</v>
      </c>
      <c r="E46" s="445">
        <v>2208900</v>
      </c>
      <c r="F46" s="439">
        <v>2.15</v>
      </c>
      <c r="G46" s="445">
        <v>2208900</v>
      </c>
      <c r="H46" s="439">
        <v>2.15</v>
      </c>
      <c r="I46" s="445">
        <v>2208900</v>
      </c>
      <c r="J46" s="439">
        <v>2.15</v>
      </c>
      <c r="K46" s="445">
        <v>2208900</v>
      </c>
      <c r="L46" s="439">
        <v>2.15</v>
      </c>
      <c r="M46" s="445">
        <v>2208900</v>
      </c>
      <c r="N46" s="439">
        <v>2.15</v>
      </c>
      <c r="O46" s="445">
        <v>2208900</v>
      </c>
      <c r="P46" s="439">
        <v>2.15</v>
      </c>
      <c r="Q46" s="445">
        <v>2208900</v>
      </c>
      <c r="R46" s="439">
        <v>2.15</v>
      </c>
      <c r="S46" s="445">
        <v>2208900</v>
      </c>
      <c r="T46" s="439">
        <v>2.15</v>
      </c>
      <c r="U46" s="445">
        <v>2208900</v>
      </c>
      <c r="V46" s="439">
        <v>2.15</v>
      </c>
      <c r="W46" s="445">
        <v>2208900</v>
      </c>
      <c r="X46" s="439">
        <v>2.15</v>
      </c>
      <c r="Y46" s="445">
        <v>2208900</v>
      </c>
      <c r="Z46" s="439">
        <v>2.15</v>
      </c>
      <c r="AA46" s="445">
        <v>2208900</v>
      </c>
      <c r="AB46" s="439">
        <v>2.15</v>
      </c>
      <c r="AC46" s="445">
        <v>2208900</v>
      </c>
      <c r="AD46" s="439">
        <v>2.14</v>
      </c>
      <c r="AE46" s="445">
        <v>2208900</v>
      </c>
      <c r="AF46" s="439">
        <v>2.14</v>
      </c>
      <c r="AG46" s="445">
        <v>2208900</v>
      </c>
      <c r="AH46" s="439">
        <v>2.14</v>
      </c>
      <c r="AI46" s="445">
        <v>2208900</v>
      </c>
      <c r="AJ46" s="439">
        <v>2.15</v>
      </c>
      <c r="AK46" s="445">
        <v>2208900</v>
      </c>
      <c r="AL46" s="439">
        <v>2.15</v>
      </c>
      <c r="AM46" s="445">
        <v>2208900</v>
      </c>
      <c r="AN46" s="439">
        <v>2.14</v>
      </c>
      <c r="AO46" s="445">
        <v>2208900</v>
      </c>
      <c r="AP46" s="439">
        <v>2.14</v>
      </c>
      <c r="AQ46" s="445">
        <v>2208900</v>
      </c>
      <c r="AR46" s="439">
        <v>2.14</v>
      </c>
      <c r="AS46" s="512">
        <v>2208900</v>
      </c>
      <c r="AT46" s="439">
        <v>2.13</v>
      </c>
    </row>
    <row r="47" spans="1:46" ht="47.25">
      <c r="A47" s="122" t="s">
        <v>71</v>
      </c>
      <c r="B47" s="123" t="s">
        <v>57</v>
      </c>
      <c r="C47" s="435"/>
      <c r="D47" s="436"/>
      <c r="E47" s="435"/>
      <c r="F47" s="436"/>
      <c r="G47" s="435"/>
      <c r="H47" s="436"/>
      <c r="I47" s="435"/>
      <c r="J47" s="436"/>
      <c r="K47" s="435"/>
      <c r="L47" s="436"/>
      <c r="M47" s="435"/>
      <c r="N47" s="436"/>
      <c r="O47" s="435"/>
      <c r="P47" s="436"/>
      <c r="Q47" s="435"/>
      <c r="R47" s="436"/>
      <c r="S47" s="435"/>
      <c r="T47" s="436"/>
      <c r="U47" s="435"/>
      <c r="V47" s="436"/>
      <c r="W47" s="435"/>
      <c r="X47" s="436"/>
      <c r="Y47" s="435"/>
      <c r="Z47" s="436"/>
      <c r="AA47" s="435"/>
      <c r="AB47" s="436"/>
      <c r="AC47" s="435"/>
      <c r="AD47" s="436"/>
      <c r="AE47" s="435"/>
      <c r="AF47" s="436"/>
      <c r="AG47" s="435"/>
      <c r="AH47" s="436"/>
      <c r="AI47" s="435"/>
      <c r="AJ47" s="436"/>
      <c r="AK47" s="435"/>
      <c r="AL47" s="436"/>
      <c r="AM47" s="435"/>
      <c r="AN47" s="436"/>
      <c r="AO47" s="435"/>
      <c r="AP47" s="436"/>
      <c r="AQ47" s="435"/>
      <c r="AR47" s="436"/>
      <c r="AS47" s="435"/>
      <c r="AT47" s="436"/>
    </row>
    <row r="48" spans="1:46" ht="16.5" thickBot="1">
      <c r="A48" s="122" t="s">
        <v>49</v>
      </c>
      <c r="B48" s="123" t="s">
        <v>50</v>
      </c>
      <c r="C48" s="479">
        <v>4180.88</v>
      </c>
      <c r="D48" s="439">
        <v>0</v>
      </c>
      <c r="E48" s="483">
        <v>4334.88</v>
      </c>
      <c r="F48" s="439">
        <v>0</v>
      </c>
      <c r="G48" s="483">
        <v>5264.21</v>
      </c>
      <c r="H48" s="439">
        <v>0.01</v>
      </c>
      <c r="I48" s="483">
        <v>6242.31</v>
      </c>
      <c r="J48" s="439">
        <v>0.01</v>
      </c>
      <c r="K48" s="483">
        <v>6242.31</v>
      </c>
      <c r="L48" s="439">
        <v>0.01</v>
      </c>
      <c r="M48" s="483">
        <v>6242.31</v>
      </c>
      <c r="N48" s="439">
        <v>0.01</v>
      </c>
      <c r="O48" s="483">
        <v>6242.31</v>
      </c>
      <c r="P48" s="439">
        <v>0.01</v>
      </c>
      <c r="Q48" s="479">
        <v>7184.14</v>
      </c>
      <c r="R48" s="439">
        <v>0.01</v>
      </c>
      <c r="S48" s="493">
        <v>9506.02</v>
      </c>
      <c r="T48" s="439">
        <v>0.01</v>
      </c>
      <c r="U48" s="496">
        <v>7907.16</v>
      </c>
      <c r="V48" s="439">
        <v>0.01</v>
      </c>
      <c r="W48" s="496">
        <v>7907.16</v>
      </c>
      <c r="X48" s="439">
        <v>0.01</v>
      </c>
      <c r="Y48" s="496">
        <v>7907.16</v>
      </c>
      <c r="Z48" s="439">
        <v>0.01</v>
      </c>
      <c r="AA48" s="496">
        <v>7907.16</v>
      </c>
      <c r="AB48" s="439">
        <v>0.01</v>
      </c>
      <c r="AC48" s="496">
        <v>15504.19</v>
      </c>
      <c r="AD48" s="439">
        <v>0.02</v>
      </c>
      <c r="AE48" s="496">
        <v>15504.19</v>
      </c>
      <c r="AF48" s="439">
        <v>0.01</v>
      </c>
      <c r="AG48" s="496">
        <v>15504.19</v>
      </c>
      <c r="AH48" s="439">
        <v>0.01</v>
      </c>
      <c r="AI48" s="496">
        <v>15504.19</v>
      </c>
      <c r="AJ48" s="439">
        <v>0.01</v>
      </c>
      <c r="AK48" s="496">
        <v>15504.19</v>
      </c>
      <c r="AL48" s="439">
        <v>0.01</v>
      </c>
      <c r="AM48" s="496">
        <v>15504.19</v>
      </c>
      <c r="AN48" s="439">
        <v>0.01</v>
      </c>
      <c r="AO48" s="496">
        <v>15504.19</v>
      </c>
      <c r="AP48" s="439">
        <v>0.02</v>
      </c>
      <c r="AQ48" s="496">
        <v>15504.19</v>
      </c>
      <c r="AR48" s="439">
        <v>0.01</v>
      </c>
      <c r="AS48" s="510">
        <v>17907.36</v>
      </c>
      <c r="AT48" s="439">
        <v>0.02</v>
      </c>
    </row>
    <row r="49" spans="1:46" ht="48" thickBot="1">
      <c r="A49" s="122" t="s">
        <v>56</v>
      </c>
      <c r="B49" s="123" t="s">
        <v>77</v>
      </c>
      <c r="C49" s="476"/>
      <c r="D49" s="436"/>
      <c r="E49" s="476"/>
      <c r="F49" s="436"/>
      <c r="G49" s="476"/>
      <c r="H49" s="436"/>
      <c r="I49" s="476"/>
      <c r="J49" s="436"/>
      <c r="K49" s="476"/>
      <c r="L49" s="436"/>
      <c r="M49" s="476"/>
      <c r="N49" s="436"/>
      <c r="O49" s="476"/>
      <c r="P49" s="436"/>
      <c r="Q49" s="476"/>
      <c r="R49" s="436"/>
      <c r="S49" s="476">
        <v>11850.22</v>
      </c>
      <c r="T49" s="436">
        <v>0.01</v>
      </c>
      <c r="U49" s="476">
        <v>11850.22</v>
      </c>
      <c r="V49" s="436">
        <v>0.01</v>
      </c>
      <c r="W49" s="476">
        <v>11850.22</v>
      </c>
      <c r="X49" s="436">
        <v>0.01</v>
      </c>
      <c r="Y49" s="476">
        <v>11850.22</v>
      </c>
      <c r="Z49" s="436">
        <v>0.01</v>
      </c>
      <c r="AA49" s="476">
        <v>11850.22</v>
      </c>
      <c r="AB49" s="436">
        <v>0.01</v>
      </c>
      <c r="AC49" s="476">
        <v>11850.22</v>
      </c>
      <c r="AD49" s="436">
        <v>0.01</v>
      </c>
      <c r="AE49" s="476">
        <v>11850.22</v>
      </c>
      <c r="AF49" s="436">
        <v>0.01</v>
      </c>
      <c r="AG49" s="476">
        <v>11850.22</v>
      </c>
      <c r="AH49" s="436">
        <v>0.01</v>
      </c>
      <c r="AI49" s="476">
        <v>11850.22</v>
      </c>
      <c r="AJ49" s="436">
        <v>0.01</v>
      </c>
      <c r="AK49" s="476">
        <v>11850.22</v>
      </c>
      <c r="AL49" s="436">
        <v>0.01</v>
      </c>
      <c r="AM49" s="476">
        <v>11850.22</v>
      </c>
      <c r="AN49" s="436">
        <v>0.01</v>
      </c>
      <c r="AO49" s="476">
        <v>11850.22</v>
      </c>
      <c r="AP49" s="436">
        <v>0.01</v>
      </c>
      <c r="AQ49" s="476">
        <v>11850.22</v>
      </c>
      <c r="AR49" s="436">
        <v>0.01</v>
      </c>
      <c r="AS49" s="436">
        <v>0</v>
      </c>
      <c r="AT49" s="436">
        <v>0</v>
      </c>
    </row>
    <row r="50" spans="1:46" ht="79.5" thickBot="1">
      <c r="A50" s="132" t="s">
        <v>72</v>
      </c>
      <c r="B50" s="123" t="s">
        <v>78</v>
      </c>
      <c r="C50" s="473">
        <v>398.37</v>
      </c>
      <c r="D50" s="436">
        <v>0</v>
      </c>
      <c r="E50" s="473">
        <v>398.37</v>
      </c>
      <c r="F50" s="436">
        <v>0</v>
      </c>
      <c r="G50" s="473">
        <v>398.37</v>
      </c>
      <c r="H50" s="436">
        <v>0</v>
      </c>
      <c r="I50" s="473">
        <v>6266.96</v>
      </c>
      <c r="J50" s="436">
        <v>0.01</v>
      </c>
      <c r="K50" s="473">
        <v>6266.96</v>
      </c>
      <c r="L50" s="436">
        <v>0.01</v>
      </c>
      <c r="M50" s="473">
        <v>6266.96</v>
      </c>
      <c r="N50" s="436">
        <v>0.01</v>
      </c>
      <c r="O50" s="473">
        <v>6266.96</v>
      </c>
      <c r="P50" s="436">
        <v>0.01</v>
      </c>
      <c r="Q50" s="473">
        <v>6266.96</v>
      </c>
      <c r="R50" s="436">
        <v>0.01</v>
      </c>
      <c r="S50" s="473">
        <v>6266.96</v>
      </c>
      <c r="T50" s="436">
        <v>0.01</v>
      </c>
      <c r="U50" s="473">
        <v>6266.96</v>
      </c>
      <c r="V50" s="436">
        <v>0.01</v>
      </c>
      <c r="W50" s="473">
        <v>6266.96</v>
      </c>
      <c r="X50" s="436">
        <v>0.01</v>
      </c>
      <c r="Y50" s="473">
        <v>6266.96</v>
      </c>
      <c r="Z50" s="436">
        <v>0.01</v>
      </c>
      <c r="AA50" s="473">
        <v>6266.96</v>
      </c>
      <c r="AB50" s="436">
        <v>0.01</v>
      </c>
      <c r="AC50" s="473">
        <v>6266.96</v>
      </c>
      <c r="AD50" s="436">
        <v>0.01</v>
      </c>
      <c r="AE50" s="473">
        <v>6266.96</v>
      </c>
      <c r="AF50" s="436">
        <v>0.01</v>
      </c>
      <c r="AG50" s="473">
        <v>6266.96</v>
      </c>
      <c r="AH50" s="436">
        <v>0.01</v>
      </c>
      <c r="AI50" s="473">
        <v>6266.96</v>
      </c>
      <c r="AJ50" s="436">
        <v>0.01</v>
      </c>
      <c r="AK50" s="473">
        <v>6266.96</v>
      </c>
      <c r="AL50" s="436">
        <v>0.01</v>
      </c>
      <c r="AM50" s="473">
        <v>6266.96</v>
      </c>
      <c r="AN50" s="436">
        <v>0.01</v>
      </c>
      <c r="AO50" s="473">
        <v>6266.96</v>
      </c>
      <c r="AP50" s="436">
        <v>0.01</v>
      </c>
      <c r="AQ50" s="473">
        <v>6266.96</v>
      </c>
      <c r="AR50" s="436">
        <v>0.01</v>
      </c>
      <c r="AS50" s="511">
        <v>1872.59</v>
      </c>
      <c r="AT50" s="436">
        <v>0</v>
      </c>
    </row>
    <row r="51" spans="1:46" ht="32.25" thickBot="1">
      <c r="A51" s="132" t="s">
        <v>51</v>
      </c>
      <c r="B51" s="123" t="s">
        <v>52</v>
      </c>
      <c r="C51" s="457">
        <v>26028.68</v>
      </c>
      <c r="D51" s="457">
        <v>0.03</v>
      </c>
      <c r="E51" s="457">
        <v>26028.68</v>
      </c>
      <c r="F51" s="457">
        <v>0.03</v>
      </c>
      <c r="G51" s="457">
        <v>26028.68</v>
      </c>
      <c r="H51" s="457">
        <v>0.03</v>
      </c>
      <c r="I51" s="457">
        <v>26028.68</v>
      </c>
      <c r="J51" s="457">
        <v>0.03</v>
      </c>
      <c r="K51" s="457">
        <v>26028.68</v>
      </c>
      <c r="L51" s="457">
        <v>0.03</v>
      </c>
      <c r="M51" s="457">
        <v>26028.68</v>
      </c>
      <c r="N51" s="457">
        <v>0.03</v>
      </c>
      <c r="O51" s="457"/>
      <c r="P51" s="457"/>
      <c r="Q51" s="457"/>
      <c r="R51" s="457"/>
      <c r="S51" s="457"/>
      <c r="T51" s="457"/>
      <c r="U51" s="457"/>
      <c r="V51" s="457"/>
      <c r="W51" s="457"/>
      <c r="X51" s="457"/>
      <c r="Y51" s="457"/>
      <c r="Z51" s="457"/>
      <c r="AA51" s="457"/>
      <c r="AB51" s="457"/>
      <c r="AC51" s="457"/>
      <c r="AD51" s="457"/>
      <c r="AE51" s="457"/>
      <c r="AF51" s="457"/>
      <c r="AG51" s="457"/>
      <c r="AH51" s="457"/>
      <c r="AI51" s="457"/>
      <c r="AJ51" s="457"/>
      <c r="AK51" s="457"/>
      <c r="AL51" s="457"/>
      <c r="AM51" s="457"/>
      <c r="AN51" s="457"/>
      <c r="AO51" s="457"/>
      <c r="AP51" s="457"/>
      <c r="AQ51" s="457"/>
      <c r="AR51" s="457"/>
      <c r="AS51" s="513">
        <v>44694.97</v>
      </c>
      <c r="AT51" s="457">
        <v>0.04</v>
      </c>
    </row>
    <row r="52" spans="1:46" thickBot="1">
      <c r="A52" s="1049" t="s">
        <v>127</v>
      </c>
      <c r="B52" s="1050"/>
      <c r="C52" s="457"/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57"/>
      <c r="R52" s="457"/>
      <c r="S52" s="457"/>
      <c r="T52" s="457"/>
      <c r="U52" s="457"/>
      <c r="V52" s="457"/>
      <c r="W52" s="457"/>
      <c r="X52" s="457"/>
      <c r="Y52" s="457"/>
      <c r="Z52" s="457"/>
      <c r="AA52" s="457"/>
      <c r="AB52" s="457"/>
      <c r="AC52" s="457"/>
      <c r="AD52" s="457"/>
      <c r="AE52" s="457"/>
      <c r="AF52" s="457"/>
      <c r="AG52" s="457"/>
      <c r="AH52" s="457"/>
      <c r="AI52" s="457"/>
      <c r="AJ52" s="457"/>
      <c r="AK52" s="457"/>
      <c r="AL52" s="457"/>
      <c r="AM52" s="457"/>
      <c r="AN52" s="457"/>
      <c r="AO52" s="457"/>
      <c r="AP52" s="457"/>
      <c r="AQ52" s="457"/>
      <c r="AR52" s="457"/>
      <c r="AS52" s="457">
        <v>27415.449999999997</v>
      </c>
      <c r="AT52" s="457">
        <v>0.03</v>
      </c>
    </row>
    <row r="53" spans="1:46" ht="32.25" thickBot="1">
      <c r="A53" s="133" t="s">
        <v>73</v>
      </c>
      <c r="B53" s="134" t="s">
        <v>53</v>
      </c>
      <c r="C53" s="457">
        <v>69595.03</v>
      </c>
      <c r="D53" s="457">
        <v>7.0000000000000007E-2</v>
      </c>
      <c r="E53" s="457">
        <v>69595.03</v>
      </c>
      <c r="F53" s="457">
        <v>7.0000000000000007E-2</v>
      </c>
      <c r="G53" s="457">
        <v>69595.03</v>
      </c>
      <c r="H53" s="457">
        <v>7.0000000000000007E-2</v>
      </c>
      <c r="I53" s="457">
        <v>69595.03</v>
      </c>
      <c r="J53" s="457">
        <v>7.0000000000000007E-2</v>
      </c>
      <c r="K53" s="457">
        <v>69595.03</v>
      </c>
      <c r="L53" s="457">
        <v>7.0000000000000007E-2</v>
      </c>
      <c r="M53" s="457">
        <v>69595.03</v>
      </c>
      <c r="N53" s="457">
        <v>7.0000000000000007E-2</v>
      </c>
      <c r="O53" s="457">
        <v>69595.03</v>
      </c>
      <c r="P53" s="457">
        <v>7.0000000000000007E-2</v>
      </c>
      <c r="Q53" s="457">
        <v>69595.03</v>
      </c>
      <c r="R53" s="457">
        <v>7.0000000000000007E-2</v>
      </c>
      <c r="S53" s="457">
        <v>69595.03</v>
      </c>
      <c r="T53" s="457">
        <v>7.0000000000000007E-2</v>
      </c>
      <c r="U53" s="457"/>
      <c r="V53" s="457"/>
      <c r="W53" s="457"/>
      <c r="X53" s="457"/>
      <c r="Y53" s="457"/>
      <c r="Z53" s="457"/>
      <c r="AA53" s="457"/>
      <c r="AB53" s="457"/>
      <c r="AC53" s="457"/>
      <c r="AD53" s="457"/>
      <c r="AE53" s="457"/>
      <c r="AF53" s="457"/>
      <c r="AG53" s="457"/>
      <c r="AH53" s="457"/>
      <c r="AI53" s="457"/>
      <c r="AJ53" s="457"/>
      <c r="AK53" s="457"/>
      <c r="AL53" s="457"/>
      <c r="AM53" s="457"/>
      <c r="AN53" s="457"/>
      <c r="AO53" s="457"/>
      <c r="AP53" s="457"/>
      <c r="AQ53" s="457"/>
      <c r="AR53" s="457"/>
      <c r="AS53" s="513">
        <v>97400.25</v>
      </c>
      <c r="AT53" s="457">
        <v>0.1</v>
      </c>
    </row>
    <row r="54" spans="1:46" ht="32.25" thickBot="1">
      <c r="A54" s="122" t="s">
        <v>54</v>
      </c>
      <c r="B54" s="123" t="s">
        <v>79</v>
      </c>
      <c r="C54" s="474">
        <v>4463.97</v>
      </c>
      <c r="D54" s="457"/>
      <c r="E54" s="474">
        <v>4463.97</v>
      </c>
      <c r="F54" s="457"/>
      <c r="G54" s="436"/>
      <c r="H54" s="436"/>
      <c r="I54" s="436"/>
      <c r="J54" s="436"/>
      <c r="K54" s="436"/>
      <c r="L54" s="436"/>
      <c r="M54" s="436"/>
      <c r="N54" s="436"/>
      <c r="O54" s="436"/>
      <c r="P54" s="436"/>
      <c r="Q54" s="436"/>
      <c r="R54" s="436"/>
      <c r="S54" s="436"/>
      <c r="T54" s="436"/>
      <c r="U54" s="436"/>
      <c r="V54" s="436"/>
      <c r="W54" s="436"/>
      <c r="X54" s="436"/>
      <c r="Y54" s="436"/>
      <c r="Z54" s="436"/>
      <c r="AA54" s="436"/>
      <c r="AB54" s="436"/>
      <c r="AC54" s="436"/>
      <c r="AD54" s="436"/>
      <c r="AE54" s="436"/>
      <c r="AF54" s="436"/>
      <c r="AG54" s="436"/>
      <c r="AH54" s="436"/>
      <c r="AI54" s="436"/>
      <c r="AJ54" s="436"/>
      <c r="AK54" s="436"/>
      <c r="AL54" s="436"/>
      <c r="AM54" s="436"/>
      <c r="AN54" s="436"/>
      <c r="AO54" s="436"/>
      <c r="AP54" s="436"/>
      <c r="AQ54" s="436"/>
      <c r="AR54" s="436"/>
      <c r="AS54" s="514">
        <v>6309.33</v>
      </c>
      <c r="AT54" s="436">
        <v>0.01</v>
      </c>
    </row>
    <row r="55" spans="1:46" ht="32.25" thickBot="1">
      <c r="A55" s="135" t="s">
        <v>55</v>
      </c>
      <c r="B55" s="223" t="s">
        <v>80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6"/>
      <c r="AL55" s="436"/>
      <c r="AM55" s="436"/>
      <c r="AN55" s="436"/>
      <c r="AO55" s="436"/>
      <c r="AP55" s="436"/>
      <c r="AQ55" s="436"/>
      <c r="AR55" s="436"/>
      <c r="AS55" s="514">
        <v>3520.74</v>
      </c>
      <c r="AT55" s="436"/>
    </row>
    <row r="56" spans="1:46" ht="16.5" thickBot="1">
      <c r="A56" s="221" t="s">
        <v>99</v>
      </c>
      <c r="B56" s="222"/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  <c r="O56" s="436"/>
      <c r="P56" s="436"/>
      <c r="Q56" s="436"/>
      <c r="R56" s="436"/>
      <c r="S56" s="436"/>
      <c r="T56" s="436"/>
      <c r="U56" s="436"/>
      <c r="V56" s="436"/>
      <c r="W56" s="436"/>
      <c r="X56" s="436"/>
      <c r="Y56" s="436"/>
      <c r="Z56" s="436"/>
      <c r="AA56" s="436"/>
      <c r="AB56" s="436"/>
      <c r="AC56" s="436"/>
      <c r="AD56" s="436"/>
      <c r="AE56" s="436"/>
      <c r="AF56" s="436"/>
      <c r="AG56" s="436"/>
      <c r="AH56" s="436"/>
      <c r="AI56" s="436"/>
      <c r="AJ56" s="436"/>
      <c r="AK56" s="436"/>
      <c r="AL56" s="436"/>
      <c r="AM56" s="436"/>
      <c r="AN56" s="436"/>
      <c r="AO56" s="436"/>
      <c r="AP56" s="436"/>
      <c r="AQ56" s="436"/>
      <c r="AR56" s="436"/>
      <c r="AS56" s="436"/>
      <c r="AT56" s="436"/>
    </row>
    <row r="57" spans="1:46" ht="15">
      <c r="A57" s="1045" t="s">
        <v>103</v>
      </c>
      <c r="B57" s="1046" t="s">
        <v>103</v>
      </c>
      <c r="C57" s="473">
        <v>2698.77</v>
      </c>
      <c r="D57">
        <v>0</v>
      </c>
      <c r="E57" s="473">
        <v>7973.63</v>
      </c>
      <c r="F57">
        <v>0.01</v>
      </c>
      <c r="G57" s="473">
        <v>15701.91</v>
      </c>
      <c r="H57">
        <v>0.02</v>
      </c>
      <c r="I57" s="473">
        <v>18278.009999999998</v>
      </c>
      <c r="J57">
        <v>0.02</v>
      </c>
      <c r="K57" s="473">
        <v>20854.11</v>
      </c>
      <c r="L57">
        <v>0.02</v>
      </c>
      <c r="M57" s="473">
        <v>23430.2</v>
      </c>
      <c r="N57">
        <v>0.02</v>
      </c>
      <c r="O57" s="473">
        <v>26006.3</v>
      </c>
      <c r="P57">
        <v>1.9999999999999997E-2</v>
      </c>
      <c r="Q57" s="473">
        <v>33734.58</v>
      </c>
      <c r="R57">
        <v>0.03</v>
      </c>
      <c r="S57" s="473">
        <v>36310.68</v>
      </c>
      <c r="T57">
        <v>0.04</v>
      </c>
      <c r="U57" s="473">
        <v>38886.78</v>
      </c>
      <c r="V57">
        <v>0.04</v>
      </c>
      <c r="W57" s="473">
        <v>41462.870000000003</v>
      </c>
      <c r="X57">
        <v>0.04</v>
      </c>
      <c r="Y57" s="473">
        <v>44038.97</v>
      </c>
      <c r="Z57">
        <v>0.04</v>
      </c>
      <c r="AA57" s="473">
        <v>51767.26</v>
      </c>
      <c r="AB57">
        <v>0.05</v>
      </c>
      <c r="AC57" s="473">
        <v>54343.35</v>
      </c>
      <c r="AD57">
        <v>0.05</v>
      </c>
      <c r="AE57" s="473">
        <v>56919.45</v>
      </c>
      <c r="AF57">
        <v>4.9999999999999996E-2</v>
      </c>
      <c r="AG57" s="473">
        <v>59495.54</v>
      </c>
      <c r="AH57">
        <v>0.06</v>
      </c>
      <c r="AI57" s="473">
        <v>62071.64</v>
      </c>
      <c r="AJ57">
        <v>0.06</v>
      </c>
      <c r="AK57" s="473">
        <v>69799.929999999993</v>
      </c>
      <c r="AL57">
        <v>7.0000000000000007E-2</v>
      </c>
      <c r="AM57" s="473">
        <v>72376.02</v>
      </c>
      <c r="AN57">
        <v>7.0000000000000007E-2</v>
      </c>
      <c r="AO57" s="473">
        <v>74952.12</v>
      </c>
      <c r="AP57">
        <v>7.0000000000000007E-2</v>
      </c>
      <c r="AQ57" s="473">
        <v>77528.210000000006</v>
      </c>
      <c r="AR57">
        <v>0.08</v>
      </c>
      <c r="AS57" s="511">
        <v>80104.31</v>
      </c>
      <c r="AT57">
        <v>0.08</v>
      </c>
    </row>
    <row r="58" spans="1:46" ht="15">
      <c r="A58" s="1032" t="s">
        <v>39</v>
      </c>
      <c r="B58" s="1044" t="s">
        <v>39</v>
      </c>
      <c r="C58" s="473">
        <v>626.99</v>
      </c>
      <c r="D58">
        <v>0</v>
      </c>
      <c r="E58" s="473">
        <v>1880.96</v>
      </c>
      <c r="F58">
        <v>0</v>
      </c>
      <c r="G58" s="473">
        <v>3761.92</v>
      </c>
      <c r="H58">
        <v>0</v>
      </c>
      <c r="I58" s="473">
        <v>4388.8999999999996</v>
      </c>
      <c r="J58">
        <v>0</v>
      </c>
      <c r="K58" s="473">
        <v>5015.8900000000003</v>
      </c>
      <c r="L58">
        <v>0</v>
      </c>
      <c r="M58" s="473">
        <v>5642.88</v>
      </c>
      <c r="N58">
        <v>0.01</v>
      </c>
      <c r="O58" s="473">
        <v>6269.86</v>
      </c>
      <c r="P58">
        <v>0.01</v>
      </c>
      <c r="Q58" s="473">
        <v>8150.82</v>
      </c>
      <c r="R58">
        <v>0.01</v>
      </c>
      <c r="S58" s="473">
        <v>8777.81</v>
      </c>
      <c r="T58">
        <v>0.01</v>
      </c>
      <c r="U58" s="473">
        <v>9404.7900000000009</v>
      </c>
      <c r="V58">
        <v>0.01</v>
      </c>
      <c r="W58" s="473">
        <v>10031.780000000001</v>
      </c>
      <c r="X58">
        <v>0.01</v>
      </c>
      <c r="Y58" s="473">
        <v>10658.77</v>
      </c>
      <c r="Z58">
        <v>0.01</v>
      </c>
      <c r="AA58" s="473">
        <v>12539.73</v>
      </c>
      <c r="AB58">
        <v>0.01</v>
      </c>
      <c r="AC58" s="473">
        <v>13166.71</v>
      </c>
      <c r="AD58">
        <v>0.01</v>
      </c>
      <c r="AE58" s="473">
        <v>13793.7</v>
      </c>
      <c r="AF58">
        <v>0.01</v>
      </c>
      <c r="AG58" s="473">
        <v>14420.68</v>
      </c>
      <c r="AH58">
        <v>0.01</v>
      </c>
      <c r="AI58" s="473">
        <v>15047.67</v>
      </c>
      <c r="AJ58">
        <v>0.01</v>
      </c>
      <c r="AK58" s="473">
        <v>0</v>
      </c>
      <c r="AL58">
        <v>0</v>
      </c>
      <c r="AM58" s="473">
        <v>0</v>
      </c>
      <c r="AN58">
        <v>0</v>
      </c>
      <c r="AO58" s="473">
        <v>654.25</v>
      </c>
      <c r="AP58">
        <v>0</v>
      </c>
      <c r="AQ58" s="473">
        <v>1308.49</v>
      </c>
      <c r="AR58">
        <v>0</v>
      </c>
      <c r="AS58" s="511">
        <v>1962.74</v>
      </c>
      <c r="AT58">
        <v>0</v>
      </c>
    </row>
    <row r="59" spans="1:46" ht="21.75" customHeight="1">
      <c r="A59" s="1040" t="s">
        <v>95</v>
      </c>
      <c r="B59" s="1041" t="s">
        <v>95</v>
      </c>
      <c r="C59" s="473">
        <v>17978.740000000002</v>
      </c>
      <c r="D59">
        <v>0.02</v>
      </c>
      <c r="E59" s="473">
        <v>19546.21</v>
      </c>
      <c r="F59">
        <v>0.02</v>
      </c>
      <c r="G59" s="473">
        <v>21897.41</v>
      </c>
      <c r="H59">
        <v>0.02</v>
      </c>
      <c r="I59" s="473">
        <v>22681.14</v>
      </c>
      <c r="J59">
        <v>0.02</v>
      </c>
      <c r="K59" s="473">
        <v>23464.87</v>
      </c>
      <c r="L59">
        <v>0.02</v>
      </c>
      <c r="M59" s="473">
        <v>24248.61</v>
      </c>
      <c r="N59">
        <v>0.02</v>
      </c>
      <c r="O59" s="473">
        <v>783.73</v>
      </c>
      <c r="P59">
        <v>0</v>
      </c>
      <c r="Q59" s="473">
        <v>3134.93</v>
      </c>
      <c r="R59">
        <v>0</v>
      </c>
      <c r="S59" s="473">
        <v>3918.66</v>
      </c>
      <c r="T59">
        <v>0</v>
      </c>
      <c r="U59" s="473">
        <v>4702.3999999999996</v>
      </c>
      <c r="V59">
        <v>0</v>
      </c>
      <c r="W59" s="473">
        <v>5486.13</v>
      </c>
      <c r="X59">
        <v>0</v>
      </c>
      <c r="Y59" s="473">
        <v>6269.86</v>
      </c>
      <c r="Z59">
        <v>0.01</v>
      </c>
      <c r="AA59" s="473">
        <v>8621.06</v>
      </c>
      <c r="AB59">
        <v>0.01</v>
      </c>
      <c r="AC59" s="473">
        <v>9404.7900000000009</v>
      </c>
      <c r="AD59">
        <v>0.01</v>
      </c>
      <c r="AE59" s="473">
        <v>10188.530000000001</v>
      </c>
      <c r="AF59">
        <v>0.01</v>
      </c>
      <c r="AG59" s="473">
        <v>10972.26</v>
      </c>
      <c r="AH59">
        <v>0.01</v>
      </c>
      <c r="AI59" s="473">
        <v>11755.99</v>
      </c>
      <c r="AJ59">
        <v>0.01</v>
      </c>
      <c r="AK59" s="473">
        <v>14107.19</v>
      </c>
      <c r="AL59">
        <v>0.01</v>
      </c>
      <c r="AM59" s="473">
        <v>14890.92</v>
      </c>
      <c r="AN59">
        <v>0.01</v>
      </c>
      <c r="AO59" s="473">
        <v>15674.66</v>
      </c>
      <c r="AP59">
        <v>0.02</v>
      </c>
      <c r="AQ59" s="473">
        <v>16458.39</v>
      </c>
      <c r="AR59">
        <v>0.02</v>
      </c>
      <c r="AS59" s="511">
        <v>17242.12</v>
      </c>
      <c r="AT59">
        <v>0.02</v>
      </c>
    </row>
    <row r="60" spans="1:46" ht="15">
      <c r="A60" s="1040" t="s">
        <v>126</v>
      </c>
      <c r="B60" s="1041" t="s">
        <v>126</v>
      </c>
      <c r="C60" s="473">
        <v>30266.83</v>
      </c>
      <c r="D60">
        <v>0.03</v>
      </c>
      <c r="E60" s="473">
        <v>32905.620000000003</v>
      </c>
      <c r="F60">
        <v>0.03</v>
      </c>
      <c r="G60" s="473">
        <v>36863.81</v>
      </c>
      <c r="H60">
        <v>0.04</v>
      </c>
      <c r="I60" s="473">
        <v>38183.21</v>
      </c>
      <c r="J60">
        <v>0.04</v>
      </c>
      <c r="K60" s="473">
        <v>39502.61</v>
      </c>
      <c r="L60">
        <v>0.04</v>
      </c>
      <c r="M60" s="473">
        <v>40822.01</v>
      </c>
      <c r="N60">
        <v>0.04</v>
      </c>
      <c r="O60" s="473">
        <v>1319.4</v>
      </c>
      <c r="P60">
        <v>0</v>
      </c>
      <c r="Q60" s="473">
        <v>5277.59</v>
      </c>
      <c r="R60">
        <v>0.01</v>
      </c>
      <c r="S60" s="473">
        <v>6596.99</v>
      </c>
      <c r="T60">
        <v>0.01</v>
      </c>
      <c r="U60" s="473">
        <v>7916.38</v>
      </c>
      <c r="V60">
        <v>0.01</v>
      </c>
      <c r="W60" s="473">
        <v>9235.7800000000007</v>
      </c>
      <c r="X60">
        <v>0.01</v>
      </c>
      <c r="Y60" s="473">
        <v>10555.18</v>
      </c>
      <c r="Z60">
        <v>0.01</v>
      </c>
      <c r="AA60" s="473">
        <v>14513.37</v>
      </c>
      <c r="AB60">
        <v>0.01</v>
      </c>
      <c r="AC60" s="473">
        <v>15832.77</v>
      </c>
      <c r="AD60">
        <v>0.02</v>
      </c>
      <c r="AE60" s="473">
        <v>17152.16</v>
      </c>
      <c r="AF60">
        <v>0.02</v>
      </c>
      <c r="AG60" s="473">
        <v>18471.560000000001</v>
      </c>
      <c r="AH60">
        <v>0.02</v>
      </c>
      <c r="AI60" s="473">
        <v>19790.96</v>
      </c>
      <c r="AJ60">
        <v>0.02</v>
      </c>
      <c r="AK60" s="473">
        <v>23749.15</v>
      </c>
      <c r="AL60">
        <v>0.02</v>
      </c>
      <c r="AM60" s="473">
        <v>25068.55</v>
      </c>
      <c r="AN60">
        <v>0.02</v>
      </c>
      <c r="AO60" s="473">
        <v>26387.95</v>
      </c>
      <c r="AP60">
        <v>0.03</v>
      </c>
      <c r="AQ60" s="473">
        <v>27707.34</v>
      </c>
      <c r="AR60">
        <v>0.03</v>
      </c>
      <c r="AS60" s="511">
        <v>29026.74</v>
      </c>
      <c r="AT60">
        <v>0.03</v>
      </c>
    </row>
    <row r="61" spans="1:46" ht="15">
      <c r="A61" s="1040" t="s">
        <v>126</v>
      </c>
      <c r="B61" s="1041" t="s">
        <v>126</v>
      </c>
      <c r="C61" s="473">
        <v>1925.63</v>
      </c>
      <c r="D61">
        <v>0</v>
      </c>
      <c r="E61" s="473">
        <v>2568.9699999999998</v>
      </c>
      <c r="F61">
        <v>0</v>
      </c>
      <c r="G61" s="473">
        <v>3533.99</v>
      </c>
      <c r="H61">
        <v>0</v>
      </c>
      <c r="I61" s="473">
        <v>3855.66</v>
      </c>
      <c r="J61">
        <v>0</v>
      </c>
      <c r="K61" s="473">
        <v>4177.33</v>
      </c>
      <c r="L61">
        <v>0</v>
      </c>
      <c r="M61" s="473">
        <v>4499</v>
      </c>
      <c r="N61">
        <v>0</v>
      </c>
      <c r="O61" s="473">
        <v>4820.67</v>
      </c>
      <c r="P61">
        <v>0</v>
      </c>
      <c r="Q61" s="473">
        <v>5785.69</v>
      </c>
      <c r="R61">
        <v>0.01</v>
      </c>
      <c r="S61" s="473">
        <v>6107.36</v>
      </c>
      <c r="T61">
        <v>0.01</v>
      </c>
      <c r="U61" s="473">
        <v>6429.03</v>
      </c>
      <c r="V61">
        <v>0.01</v>
      </c>
      <c r="W61" s="473">
        <v>6750.7</v>
      </c>
      <c r="X61">
        <v>0.01</v>
      </c>
      <c r="Y61" s="473">
        <v>7072.37</v>
      </c>
      <c r="Z61">
        <v>0.01</v>
      </c>
      <c r="AA61" s="473">
        <v>8037.38</v>
      </c>
      <c r="AB61">
        <v>0.01</v>
      </c>
      <c r="AC61" s="473">
        <v>8359.06</v>
      </c>
      <c r="AD61">
        <v>0.01</v>
      </c>
      <c r="AE61" s="473">
        <v>8680.73</v>
      </c>
      <c r="AF61">
        <v>0.01</v>
      </c>
      <c r="AG61" s="473">
        <v>9002.4</v>
      </c>
      <c r="AH61">
        <v>0.01</v>
      </c>
      <c r="AI61" s="473">
        <v>9324.07</v>
      </c>
      <c r="AJ61">
        <v>0.01</v>
      </c>
      <c r="AK61" s="473">
        <v>321.67</v>
      </c>
      <c r="AL61">
        <v>0</v>
      </c>
      <c r="AM61" s="473">
        <v>643.34</v>
      </c>
      <c r="AN61">
        <v>0</v>
      </c>
      <c r="AO61" s="473">
        <v>965.01</v>
      </c>
      <c r="AP61">
        <v>0</v>
      </c>
      <c r="AQ61" s="473">
        <v>1286.68</v>
      </c>
      <c r="AR61">
        <v>0</v>
      </c>
      <c r="AS61" s="511">
        <v>1608.36</v>
      </c>
      <c r="AT61">
        <v>0</v>
      </c>
    </row>
    <row r="62" spans="1:46" ht="15">
      <c r="A62" s="1032" t="s">
        <v>104</v>
      </c>
      <c r="B62" s="1044" t="s">
        <v>104</v>
      </c>
      <c r="C62" s="473">
        <v>708.77</v>
      </c>
      <c r="D62">
        <v>0</v>
      </c>
      <c r="E62" s="473">
        <v>2126.3000000000002</v>
      </c>
      <c r="F62">
        <v>0</v>
      </c>
      <c r="G62" s="473">
        <v>4252.6000000000004</v>
      </c>
      <c r="H62">
        <v>0</v>
      </c>
      <c r="I62" s="473">
        <v>4961.37</v>
      </c>
      <c r="J62">
        <v>0</v>
      </c>
      <c r="K62" s="473">
        <v>5670.14</v>
      </c>
      <c r="L62">
        <v>0.01</v>
      </c>
      <c r="M62" s="473">
        <v>6378.9</v>
      </c>
      <c r="N62">
        <v>0.01</v>
      </c>
      <c r="O62" s="473">
        <v>7087.67</v>
      </c>
      <c r="P62">
        <v>0.01</v>
      </c>
      <c r="Q62" s="473">
        <v>9213.9699999999993</v>
      </c>
      <c r="R62">
        <v>0.01</v>
      </c>
      <c r="S62" s="473">
        <v>9922.74</v>
      </c>
      <c r="T62">
        <v>0.01</v>
      </c>
      <c r="U62" s="473">
        <v>10631.51</v>
      </c>
      <c r="V62">
        <v>0.01</v>
      </c>
      <c r="W62" s="473">
        <v>11340.27</v>
      </c>
      <c r="X62">
        <v>0.01</v>
      </c>
      <c r="Y62" s="473">
        <v>12049.04</v>
      </c>
      <c r="Z62">
        <v>0.01</v>
      </c>
      <c r="AA62" s="473">
        <v>14175.34</v>
      </c>
      <c r="AB62">
        <v>0.01</v>
      </c>
      <c r="AC62" s="473">
        <v>14884.11</v>
      </c>
      <c r="AD62">
        <v>0.01</v>
      </c>
      <c r="AE62" s="473">
        <v>15592.88</v>
      </c>
      <c r="AF62">
        <v>0.02</v>
      </c>
      <c r="AG62" s="473">
        <v>16301.64</v>
      </c>
      <c r="AH62">
        <v>0.02</v>
      </c>
      <c r="AI62" s="473">
        <v>17010.41</v>
      </c>
      <c r="AJ62">
        <v>0.02</v>
      </c>
      <c r="AK62" s="473">
        <v>19136.71</v>
      </c>
      <c r="AL62">
        <v>0.02</v>
      </c>
      <c r="AM62" s="473">
        <v>19845.48</v>
      </c>
      <c r="AN62">
        <v>0.02</v>
      </c>
      <c r="AO62" s="473">
        <v>20554.25</v>
      </c>
      <c r="AP62">
        <v>0.02</v>
      </c>
      <c r="AQ62" s="473">
        <v>21263.01</v>
      </c>
      <c r="AR62">
        <v>0.02</v>
      </c>
      <c r="AS62" s="511">
        <v>21971.78</v>
      </c>
      <c r="AT62">
        <v>0.02</v>
      </c>
    </row>
    <row r="63" spans="1:46" ht="15.75" customHeight="1" thickBot="1">
      <c r="A63" s="1042" t="s">
        <v>58</v>
      </c>
      <c r="B63" s="1043" t="s">
        <v>58</v>
      </c>
      <c r="C63" s="473">
        <v>96.5</v>
      </c>
      <c r="D63" s="475">
        <v>0</v>
      </c>
      <c r="E63" s="473">
        <v>257.2</v>
      </c>
      <c r="F63" s="475">
        <v>0</v>
      </c>
      <c r="G63" s="473">
        <v>449.79</v>
      </c>
      <c r="H63" s="475">
        <v>0</v>
      </c>
      <c r="I63" s="473">
        <v>513.99</v>
      </c>
      <c r="J63" s="475">
        <v>0</v>
      </c>
      <c r="K63" s="473">
        <v>578.19000000000005</v>
      </c>
      <c r="L63" s="475">
        <v>0</v>
      </c>
      <c r="M63" s="473">
        <v>642.39</v>
      </c>
      <c r="N63" s="475">
        <v>0</v>
      </c>
      <c r="O63" s="473">
        <v>727.44</v>
      </c>
      <c r="P63" s="475">
        <v>0</v>
      </c>
      <c r="Q63" s="473">
        <v>982.6</v>
      </c>
      <c r="R63" s="475">
        <v>0</v>
      </c>
      <c r="S63" s="473">
        <v>1067.6500000000001</v>
      </c>
      <c r="T63" s="475">
        <v>0</v>
      </c>
      <c r="U63" s="473">
        <v>1152.7</v>
      </c>
      <c r="V63" s="475">
        <v>0</v>
      </c>
      <c r="W63" s="473">
        <v>1225.48</v>
      </c>
      <c r="X63" s="475">
        <v>0</v>
      </c>
      <c r="Y63" s="473">
        <v>1298.27</v>
      </c>
      <c r="Z63" s="475">
        <v>0</v>
      </c>
      <c r="AA63" s="473">
        <v>1516.62</v>
      </c>
      <c r="AB63" s="475">
        <v>0</v>
      </c>
      <c r="AC63" s="473">
        <v>1589.41</v>
      </c>
      <c r="AD63" s="475">
        <v>0</v>
      </c>
      <c r="AE63" s="473">
        <v>1662.19</v>
      </c>
      <c r="AF63" s="475">
        <v>0</v>
      </c>
      <c r="AG63" s="473">
        <v>1767.69</v>
      </c>
      <c r="AH63" s="475">
        <v>0</v>
      </c>
      <c r="AI63" s="473">
        <v>1873.18</v>
      </c>
      <c r="AJ63" s="475">
        <v>0</v>
      </c>
      <c r="AK63" s="473">
        <v>2189.6799999999998</v>
      </c>
      <c r="AL63" s="475">
        <v>0</v>
      </c>
      <c r="AM63" s="473">
        <v>2295.17</v>
      </c>
      <c r="AN63" s="475">
        <v>0</v>
      </c>
      <c r="AO63" s="473">
        <v>2400.67</v>
      </c>
      <c r="AP63" s="475">
        <v>0</v>
      </c>
      <c r="AQ63" s="473">
        <v>2564.64</v>
      </c>
      <c r="AR63" s="475">
        <v>0</v>
      </c>
      <c r="AS63" s="511">
        <v>2728.61</v>
      </c>
      <c r="AT63" s="475">
        <v>0</v>
      </c>
    </row>
    <row r="64" spans="1:46" s="459" customFormat="1">
      <c r="A64" s="458" t="s">
        <v>120</v>
      </c>
      <c r="B64" s="424" t="s">
        <v>105</v>
      </c>
      <c r="C64" s="473">
        <v>210</v>
      </c>
      <c r="D64" s="434"/>
      <c r="E64" s="473">
        <v>210</v>
      </c>
      <c r="F64" s="434"/>
      <c r="G64" s="473">
        <v>210</v>
      </c>
      <c r="H64" s="434"/>
      <c r="I64" s="473">
        <v>210</v>
      </c>
      <c r="J64" s="434"/>
      <c r="K64" s="473">
        <v>210</v>
      </c>
      <c r="L64" s="434"/>
      <c r="M64" s="473">
        <v>210</v>
      </c>
      <c r="N64" s="434"/>
      <c r="O64" s="473">
        <v>210</v>
      </c>
      <c r="P64" s="434"/>
      <c r="Q64" s="473">
        <v>210</v>
      </c>
      <c r="R64" s="434"/>
      <c r="S64" s="473">
        <v>210</v>
      </c>
      <c r="T64" s="434"/>
      <c r="U64" s="473">
        <v>210</v>
      </c>
      <c r="V64" s="434"/>
      <c r="W64" s="473">
        <v>210</v>
      </c>
      <c r="X64" s="434"/>
      <c r="Y64" s="473">
        <v>210</v>
      </c>
      <c r="Z64" s="434"/>
      <c r="AA64" s="473">
        <v>210</v>
      </c>
      <c r="AB64" s="434"/>
      <c r="AC64" s="473">
        <v>210</v>
      </c>
      <c r="AD64" s="434"/>
      <c r="AE64" s="473">
        <v>210</v>
      </c>
      <c r="AF64" s="434"/>
      <c r="AG64" s="473">
        <v>210</v>
      </c>
      <c r="AH64" s="434"/>
      <c r="AI64" s="473">
        <v>210</v>
      </c>
      <c r="AJ64" s="434"/>
      <c r="AK64" s="473">
        <v>210</v>
      </c>
      <c r="AL64" s="434"/>
      <c r="AM64" s="473">
        <v>210</v>
      </c>
      <c r="AN64" s="434"/>
      <c r="AO64" s="473">
        <v>210</v>
      </c>
      <c r="AP64" s="434"/>
      <c r="AQ64" s="473">
        <v>210</v>
      </c>
      <c r="AR64" s="434"/>
      <c r="AS64" s="473">
        <v>210</v>
      </c>
      <c r="AT64" s="434"/>
    </row>
    <row r="65" spans="1:46" s="459" customFormat="1" ht="15">
      <c r="A65" s="1032" t="s">
        <v>39</v>
      </c>
      <c r="B65" s="1044" t="s">
        <v>39</v>
      </c>
      <c r="C65" s="471"/>
      <c r="D65" s="472"/>
      <c r="E65" s="471"/>
      <c r="F65" s="472"/>
      <c r="G65" s="471"/>
      <c r="H65" s="472"/>
      <c r="I65" s="471"/>
      <c r="J65" s="472"/>
      <c r="K65" s="475">
        <v>178622.4</v>
      </c>
      <c r="L65" s="472">
        <v>0.17</v>
      </c>
      <c r="M65" s="475"/>
      <c r="N65" s="472"/>
      <c r="O65" s="475"/>
      <c r="P65" s="472"/>
      <c r="Q65" s="475"/>
      <c r="R65" s="472"/>
      <c r="S65" s="475"/>
      <c r="T65" s="472"/>
      <c r="U65" s="475"/>
      <c r="V65" s="472"/>
      <c r="W65" s="475"/>
      <c r="X65" s="472"/>
      <c r="Y65" s="475"/>
      <c r="Z65" s="472"/>
      <c r="AA65" s="475"/>
      <c r="AB65" s="472"/>
      <c r="AC65" s="475"/>
      <c r="AD65" s="472"/>
      <c r="AE65" s="475"/>
      <c r="AF65" s="472"/>
      <c r="AG65" s="475"/>
      <c r="AH65" s="472"/>
      <c r="AI65" s="475"/>
      <c r="AJ65" s="472"/>
      <c r="AK65" s="475"/>
      <c r="AL65" s="472"/>
      <c r="AM65" s="475"/>
      <c r="AN65" s="472"/>
      <c r="AO65" s="475"/>
      <c r="AP65" s="472"/>
      <c r="AQ65" s="475"/>
      <c r="AR65" s="472"/>
      <c r="AS65" s="475"/>
      <c r="AT65" s="472"/>
    </row>
    <row r="66" spans="1:46" ht="16.5" thickBot="1">
      <c r="A66" s="1018"/>
      <c r="B66" s="1019"/>
      <c r="C66" s="412">
        <f t="shared" ref="C66:AT66" si="4">SUM(C38:C65)</f>
        <v>5386817.1799999988</v>
      </c>
      <c r="D66" s="412">
        <f t="shared" si="4"/>
        <v>5.2200000000000006</v>
      </c>
      <c r="E66" s="412">
        <f t="shared" si="4"/>
        <v>5390921.2699999996</v>
      </c>
      <c r="F66" s="412">
        <f t="shared" si="4"/>
        <v>5.25</v>
      </c>
      <c r="G66" s="412">
        <f t="shared" si="4"/>
        <v>5392629.3099999996</v>
      </c>
      <c r="H66" s="412">
        <f t="shared" si="4"/>
        <v>5.25</v>
      </c>
      <c r="I66" s="412">
        <f t="shared" si="4"/>
        <v>5401223.54</v>
      </c>
      <c r="J66" s="412">
        <f t="shared" si="4"/>
        <v>5.26</v>
      </c>
      <c r="K66" s="412">
        <f t="shared" si="4"/>
        <v>5581593.5000000009</v>
      </c>
      <c r="L66" s="412">
        <f t="shared" si="4"/>
        <v>5.43</v>
      </c>
      <c r="M66" s="412">
        <f t="shared" si="4"/>
        <v>5404718.6699999999</v>
      </c>
      <c r="N66" s="412">
        <f t="shared" si="4"/>
        <v>5.27</v>
      </c>
      <c r="O66" s="412">
        <f t="shared" si="4"/>
        <v>5315387.7800000012</v>
      </c>
      <c r="P66" s="412">
        <f t="shared" si="4"/>
        <v>5.169999999999999</v>
      </c>
      <c r="Q66" s="412">
        <f t="shared" si="4"/>
        <v>5321634.8499999996</v>
      </c>
      <c r="R66" s="412">
        <f t="shared" si="4"/>
        <v>5.1799999999999988</v>
      </c>
      <c r="S66" s="412">
        <f t="shared" si="4"/>
        <v>5337575.37</v>
      </c>
      <c r="T66" s="412">
        <f t="shared" si="4"/>
        <v>5.1899999999999986</v>
      </c>
      <c r="U66" s="412">
        <f t="shared" si="4"/>
        <v>5268149.8900000006</v>
      </c>
      <c r="V66" s="412">
        <f t="shared" si="4"/>
        <v>5.1299999999999981</v>
      </c>
      <c r="W66" s="412">
        <f t="shared" si="4"/>
        <v>5269906.0100000007</v>
      </c>
      <c r="X66" s="412">
        <f t="shared" si="4"/>
        <v>5.1199999999999983</v>
      </c>
      <c r="Y66" s="412">
        <f t="shared" si="4"/>
        <v>5271662.169999999</v>
      </c>
      <c r="Z66" s="412">
        <f t="shared" si="4"/>
        <v>5.1299999999999981</v>
      </c>
      <c r="AA66" s="412">
        <f t="shared" si="4"/>
        <v>5276930.58</v>
      </c>
      <c r="AB66" s="412">
        <f t="shared" si="4"/>
        <v>5.1199999999999983</v>
      </c>
      <c r="AC66" s="412">
        <f t="shared" si="4"/>
        <v>5286283.79</v>
      </c>
      <c r="AD66" s="412">
        <f t="shared" si="4"/>
        <v>5.1299999999999981</v>
      </c>
      <c r="AE66" s="412">
        <f t="shared" si="4"/>
        <v>5288039.9300000016</v>
      </c>
      <c r="AF66" s="412">
        <f t="shared" si="4"/>
        <v>5.1299999999999981</v>
      </c>
      <c r="AG66" s="412">
        <f t="shared" si="4"/>
        <v>5289828.76</v>
      </c>
      <c r="AH66" s="412">
        <f t="shared" si="4"/>
        <v>5.1299999999999981</v>
      </c>
      <c r="AI66" s="412">
        <f t="shared" si="4"/>
        <v>5291617.62</v>
      </c>
      <c r="AJ66" s="412">
        <f t="shared" si="4"/>
        <v>5.1299999999999981</v>
      </c>
      <c r="AK66" s="412">
        <f t="shared" si="4"/>
        <v>5270088.16</v>
      </c>
      <c r="AL66" s="412">
        <f t="shared" si="4"/>
        <v>5.1099999999999985</v>
      </c>
      <c r="AM66" s="412">
        <f t="shared" si="4"/>
        <v>5271250.01</v>
      </c>
      <c r="AN66" s="412">
        <f t="shared" si="4"/>
        <v>5.0999999999999988</v>
      </c>
      <c r="AO66" s="412">
        <f t="shared" si="4"/>
        <v>5273066.16</v>
      </c>
      <c r="AP66" s="412">
        <f t="shared" si="4"/>
        <v>5.1199999999999983</v>
      </c>
      <c r="AQ66" s="412">
        <f t="shared" si="4"/>
        <v>5274940.7299999986</v>
      </c>
      <c r="AR66" s="412">
        <f t="shared" si="4"/>
        <v>5.1099999999999985</v>
      </c>
      <c r="AS66" s="412">
        <f t="shared" si="4"/>
        <v>5442424.0500000017</v>
      </c>
      <c r="AT66" s="412">
        <f t="shared" si="4"/>
        <v>5.2499999999999991</v>
      </c>
    </row>
    <row r="67" spans="1:46">
      <c r="B67" s="142" t="s">
        <v>59</v>
      </c>
      <c r="C67" s="413">
        <f>C9+C15+C18</f>
        <v>65800005.439999998</v>
      </c>
      <c r="D67" s="440">
        <f>D9+D15</f>
        <v>62.2</v>
      </c>
      <c r="E67" s="413">
        <f>E9+E15+E18</f>
        <v>65931845.07</v>
      </c>
      <c r="F67" s="440">
        <f>F9+F15</f>
        <v>62.58</v>
      </c>
      <c r="G67" s="413">
        <f>G9+G15+G18</f>
        <v>65964806.850000001</v>
      </c>
      <c r="H67" s="440">
        <f>H9+H15</f>
        <v>62.59</v>
      </c>
      <c r="I67" s="413">
        <f>I9+I15+I18</f>
        <v>65881713.229999997</v>
      </c>
      <c r="J67" s="440">
        <f>J9+J15</f>
        <v>62.550000000000004</v>
      </c>
      <c r="K67" s="413">
        <f>K9+K15+K18</f>
        <v>65818904.649999999</v>
      </c>
      <c r="L67" s="440">
        <f>L9+L15</f>
        <v>62.410000000000004</v>
      </c>
      <c r="M67" s="413">
        <f>M9+M15+M18</f>
        <v>65741664.980000004</v>
      </c>
      <c r="N67" s="440">
        <f>N9+N15</f>
        <v>62.38</v>
      </c>
      <c r="O67" s="413">
        <f>O9+O15+O18</f>
        <v>65823650.690000005</v>
      </c>
      <c r="P67" s="440">
        <f>P9+P15</f>
        <v>62.41</v>
      </c>
      <c r="Q67" s="413">
        <f>Q9+Q15+Q18</f>
        <v>65812952.239999995</v>
      </c>
      <c r="R67" s="440">
        <f>R9+R15</f>
        <v>62.39</v>
      </c>
      <c r="S67" s="413">
        <f>S9+S15+S18</f>
        <v>65864010.049999997</v>
      </c>
      <c r="T67" s="440">
        <f>T9+T15</f>
        <v>62.410000000000011</v>
      </c>
      <c r="U67" s="413">
        <f>U9+U15+U18</f>
        <v>57770982.480000004</v>
      </c>
      <c r="V67" s="440">
        <f>V9+V15</f>
        <v>54.550000000000004</v>
      </c>
      <c r="W67" s="413">
        <f>W9+W15+W18</f>
        <v>66185695.519999996</v>
      </c>
      <c r="X67" s="440">
        <f>X9+X15</f>
        <v>62.67</v>
      </c>
      <c r="Y67" s="413">
        <f>Y9+Y15+Y18</f>
        <v>66059312.969999999</v>
      </c>
      <c r="Z67" s="440">
        <f>Z9+Z15</f>
        <v>62.63</v>
      </c>
      <c r="AA67" s="413">
        <f>AA9+AA15+AA18</f>
        <v>66302384.630000003</v>
      </c>
      <c r="AB67" s="440">
        <f>AB9+AB15</f>
        <v>62.71</v>
      </c>
      <c r="AC67" s="413">
        <f>AC9+AC15+AC18</f>
        <v>66296302.569999993</v>
      </c>
      <c r="AD67" s="440">
        <f>AD9+AD15</f>
        <v>62.71</v>
      </c>
      <c r="AE67" s="413">
        <f>AE9+AE15+AE18</f>
        <v>65958710.879999995</v>
      </c>
      <c r="AF67" s="440">
        <f>AF9+AF15</f>
        <v>62.349999999999994</v>
      </c>
      <c r="AG67" s="413">
        <f>AG9+AG15+AG18</f>
        <v>66018076.560000002</v>
      </c>
      <c r="AH67" s="440">
        <f>AH9+AH15</f>
        <v>62.38</v>
      </c>
      <c r="AI67" s="413">
        <f>AI9+AI15+AI18</f>
        <v>66073331.489999995</v>
      </c>
      <c r="AJ67" s="440">
        <f>AJ9+AJ15</f>
        <v>62.4</v>
      </c>
      <c r="AK67" s="413">
        <f>AK9+AK15+AK18</f>
        <v>66159570.209999993</v>
      </c>
      <c r="AL67" s="440">
        <f>AL9+AL15</f>
        <v>62.42</v>
      </c>
      <c r="AM67" s="413">
        <f>AM9+AM15+AM18</f>
        <v>66355474.380000003</v>
      </c>
      <c r="AN67" s="440">
        <f>AN9+AN15</f>
        <v>62.490000000000009</v>
      </c>
      <c r="AO67" s="413">
        <f>AO9+AO15+AO18</f>
        <v>65314357.770000003</v>
      </c>
      <c r="AP67" s="440">
        <f>AP9+AP15</f>
        <v>61.690000000000012</v>
      </c>
      <c r="AQ67" s="413">
        <f>AQ9+AQ15+AQ18</f>
        <v>65518330.729999997</v>
      </c>
      <c r="AR67" s="440">
        <f>AR9+AR15</f>
        <v>61.759999999999991</v>
      </c>
      <c r="AS67" s="413">
        <f>AS9+AS15+AS18</f>
        <v>65728159.119999997</v>
      </c>
      <c r="AT67" s="440">
        <f>AT9+AT15</f>
        <v>61.73</v>
      </c>
    </row>
    <row r="68" spans="1:46">
      <c r="A68" s="145"/>
      <c r="B68" s="145" t="s">
        <v>109</v>
      </c>
      <c r="C68" s="414">
        <f t="shared" ref="C68:AT68" si="5">C35</f>
        <v>24845846.870000001</v>
      </c>
      <c r="D68" s="441">
        <f t="shared" si="5"/>
        <v>24.12</v>
      </c>
      <c r="E68" s="414">
        <f t="shared" si="5"/>
        <v>24303542.439999998</v>
      </c>
      <c r="F68" s="441">
        <f t="shared" si="5"/>
        <v>23.679999999999996</v>
      </c>
      <c r="G68" s="414">
        <f t="shared" si="5"/>
        <v>24316180.84</v>
      </c>
      <c r="H68" s="441">
        <f t="shared" si="5"/>
        <v>23.679999999999996</v>
      </c>
      <c r="I68" s="414">
        <f t="shared" si="5"/>
        <v>24317502.25</v>
      </c>
      <c r="J68" s="441">
        <f t="shared" si="5"/>
        <v>23.699999999999996</v>
      </c>
      <c r="K68" s="414">
        <f t="shared" si="5"/>
        <v>24323815.25</v>
      </c>
      <c r="L68" s="441">
        <f t="shared" si="5"/>
        <v>23.68</v>
      </c>
      <c r="M68" s="414">
        <f t="shared" si="5"/>
        <v>24506027.25</v>
      </c>
      <c r="N68" s="441">
        <f t="shared" si="5"/>
        <v>23.869999999999997</v>
      </c>
      <c r="O68" s="414">
        <f t="shared" si="5"/>
        <v>24597584.329999998</v>
      </c>
      <c r="P68" s="441">
        <f t="shared" si="5"/>
        <v>23.939999999999998</v>
      </c>
      <c r="Q68" s="414">
        <f t="shared" si="5"/>
        <v>24603235.280000001</v>
      </c>
      <c r="R68" s="441">
        <f t="shared" si="5"/>
        <v>23.949999999999996</v>
      </c>
      <c r="S68" s="414">
        <f t="shared" si="5"/>
        <v>24586848.109999999</v>
      </c>
      <c r="T68" s="441">
        <f t="shared" si="5"/>
        <v>23.919999999999998</v>
      </c>
      <c r="U68" s="414">
        <f t="shared" si="5"/>
        <v>32730680.629999999</v>
      </c>
      <c r="V68" s="441">
        <f t="shared" si="5"/>
        <v>31.849999999999998</v>
      </c>
      <c r="W68" s="414">
        <f t="shared" si="5"/>
        <v>24417352.629999999</v>
      </c>
      <c r="X68" s="441">
        <f t="shared" si="5"/>
        <v>23.740000000000002</v>
      </c>
      <c r="Y68" s="414">
        <f t="shared" si="5"/>
        <v>24417352.629999999</v>
      </c>
      <c r="Z68" s="441">
        <f t="shared" si="5"/>
        <v>23.759999999999998</v>
      </c>
      <c r="AA68" s="414">
        <f t="shared" si="5"/>
        <v>24426273.629999999</v>
      </c>
      <c r="AB68" s="441">
        <f t="shared" si="5"/>
        <v>23.71</v>
      </c>
      <c r="AC68" s="414">
        <f t="shared" si="5"/>
        <v>24415062.629999999</v>
      </c>
      <c r="AD68" s="441">
        <f t="shared" si="5"/>
        <v>23.7</v>
      </c>
      <c r="AE68" s="414">
        <f t="shared" si="5"/>
        <v>24795726.490000002</v>
      </c>
      <c r="AF68" s="441">
        <f t="shared" si="5"/>
        <v>24.06</v>
      </c>
      <c r="AG68" s="414">
        <f t="shared" si="5"/>
        <v>24795726.490000002</v>
      </c>
      <c r="AH68" s="441">
        <f t="shared" si="5"/>
        <v>24.049999999999997</v>
      </c>
      <c r="AI68" s="414">
        <f t="shared" si="5"/>
        <v>24795726.490000002</v>
      </c>
      <c r="AJ68" s="441">
        <f t="shared" si="5"/>
        <v>24.03</v>
      </c>
      <c r="AK68" s="414">
        <f t="shared" si="5"/>
        <v>24822127.550000001</v>
      </c>
      <c r="AL68" s="441">
        <f t="shared" si="5"/>
        <v>24.04</v>
      </c>
      <c r="AM68" s="414">
        <f t="shared" si="5"/>
        <v>24822127.550000001</v>
      </c>
      <c r="AN68" s="441">
        <f t="shared" si="5"/>
        <v>23.99</v>
      </c>
      <c r="AO68" s="414">
        <f t="shared" si="5"/>
        <v>25508527.550000001</v>
      </c>
      <c r="AP68" s="441" t="e">
        <f t="shared" si="5"/>
        <v>#DIV/0!</v>
      </c>
      <c r="AQ68" s="414">
        <f t="shared" si="5"/>
        <v>25527257.800000001</v>
      </c>
      <c r="AR68" s="441">
        <f t="shared" si="5"/>
        <v>24.7</v>
      </c>
      <c r="AS68" s="414">
        <f t="shared" si="5"/>
        <v>25528398.800000001</v>
      </c>
      <c r="AT68" s="441">
        <f t="shared" si="5"/>
        <v>24.61</v>
      </c>
    </row>
    <row r="69" spans="1:46">
      <c r="B69" s="145" t="s">
        <v>110</v>
      </c>
      <c r="C69" s="414">
        <f t="shared" ref="C69:AT69" si="6">C22</f>
        <v>7005983.7000000002</v>
      </c>
      <c r="D69" s="441">
        <f t="shared" si="6"/>
        <v>6.8000000000000007</v>
      </c>
      <c r="E69" s="414">
        <f t="shared" si="6"/>
        <v>7005983.7000000002</v>
      </c>
      <c r="F69" s="441">
        <f t="shared" si="6"/>
        <v>6.83</v>
      </c>
      <c r="G69" s="414">
        <f t="shared" si="6"/>
        <v>7005983.7000000002</v>
      </c>
      <c r="H69" s="441">
        <f t="shared" si="6"/>
        <v>6.82</v>
      </c>
      <c r="I69" s="414">
        <f t="shared" si="6"/>
        <v>7005983.7000000002</v>
      </c>
      <c r="J69" s="441">
        <f t="shared" si="6"/>
        <v>6.83</v>
      </c>
      <c r="K69" s="414">
        <f t="shared" si="6"/>
        <v>7005983.7000000002</v>
      </c>
      <c r="L69" s="441">
        <f t="shared" si="6"/>
        <v>6.82</v>
      </c>
      <c r="M69" s="414">
        <f t="shared" si="6"/>
        <v>7005983.7000000002</v>
      </c>
      <c r="N69" s="441">
        <f t="shared" si="6"/>
        <v>6.82</v>
      </c>
      <c r="O69" s="414">
        <f t="shared" si="6"/>
        <v>7005983.7000000002</v>
      </c>
      <c r="P69" s="441">
        <f t="shared" si="6"/>
        <v>6.82</v>
      </c>
      <c r="Q69" s="414">
        <f t="shared" si="6"/>
        <v>7005983.7000000002</v>
      </c>
      <c r="R69" s="441">
        <f t="shared" si="6"/>
        <v>6.82</v>
      </c>
      <c r="S69" s="414">
        <f t="shared" si="6"/>
        <v>7005983.7000000002</v>
      </c>
      <c r="T69" s="441">
        <f t="shared" si="6"/>
        <v>6.82</v>
      </c>
      <c r="U69" s="414">
        <f t="shared" si="6"/>
        <v>7005983.7000000002</v>
      </c>
      <c r="V69" s="441">
        <f t="shared" si="6"/>
        <v>6.8100000000000005</v>
      </c>
      <c r="W69" s="414">
        <f t="shared" si="6"/>
        <v>7005983.7000000002</v>
      </c>
      <c r="X69" s="441">
        <f t="shared" si="6"/>
        <v>6.8100000000000005</v>
      </c>
      <c r="Y69" s="414">
        <f t="shared" si="6"/>
        <v>7005983.7000000002</v>
      </c>
      <c r="Z69" s="441">
        <f t="shared" si="6"/>
        <v>6.82</v>
      </c>
      <c r="AA69" s="414">
        <f t="shared" si="6"/>
        <v>7005983.7000000002</v>
      </c>
      <c r="AB69" s="441">
        <f t="shared" si="6"/>
        <v>6.8000000000000007</v>
      </c>
      <c r="AC69" s="414">
        <f t="shared" si="6"/>
        <v>7005983.7000000002</v>
      </c>
      <c r="AD69" s="441">
        <f t="shared" si="6"/>
        <v>6.8000000000000007</v>
      </c>
      <c r="AE69" s="414">
        <f t="shared" si="6"/>
        <v>7005983.7000000002</v>
      </c>
      <c r="AF69" s="441">
        <f t="shared" si="6"/>
        <v>6.8000000000000007</v>
      </c>
      <c r="AG69" s="414">
        <f t="shared" si="6"/>
        <v>7005983.7000000002</v>
      </c>
      <c r="AH69" s="441">
        <f t="shared" si="6"/>
        <v>6.79</v>
      </c>
      <c r="AI69" s="414">
        <f t="shared" si="6"/>
        <v>7005983.7000000002</v>
      </c>
      <c r="AJ69" s="441">
        <f t="shared" si="6"/>
        <v>6.79</v>
      </c>
      <c r="AK69" s="414">
        <f t="shared" si="6"/>
        <v>7005983.7000000002</v>
      </c>
      <c r="AL69" s="441">
        <f t="shared" si="6"/>
        <v>6.7799999999999994</v>
      </c>
      <c r="AM69" s="414">
        <f t="shared" si="6"/>
        <v>7005983.7000000002</v>
      </c>
      <c r="AN69" s="441">
        <f t="shared" si="6"/>
        <v>6.77</v>
      </c>
      <c r="AO69" s="414">
        <f t="shared" si="6"/>
        <v>7005983.7000000002</v>
      </c>
      <c r="AP69" s="441">
        <f t="shared" si="6"/>
        <v>6.79</v>
      </c>
      <c r="AQ69" s="414">
        <f t="shared" si="6"/>
        <v>7005983.7000000002</v>
      </c>
      <c r="AR69" s="441">
        <f t="shared" si="6"/>
        <v>6.7799999999999994</v>
      </c>
      <c r="AS69" s="414">
        <f t="shared" si="6"/>
        <v>7005983.7000000002</v>
      </c>
      <c r="AT69" s="441">
        <f t="shared" si="6"/>
        <v>6.76</v>
      </c>
    </row>
    <row r="70" spans="1:46">
      <c r="B70" s="145" t="s">
        <v>122</v>
      </c>
      <c r="C70" s="414"/>
      <c r="D70" s="414">
        <f>D18</f>
        <v>1.66</v>
      </c>
      <c r="E70" s="414"/>
      <c r="F70" s="414">
        <f>F18</f>
        <v>1.66</v>
      </c>
      <c r="G70" s="414"/>
      <c r="H70" s="414">
        <f>H18</f>
        <v>1.66</v>
      </c>
      <c r="I70" s="414"/>
      <c r="J70" s="414">
        <f>J18</f>
        <v>1.66</v>
      </c>
      <c r="K70" s="414"/>
      <c r="L70" s="414">
        <f>L18</f>
        <v>1.66</v>
      </c>
      <c r="M70" s="414"/>
      <c r="N70" s="414">
        <f>N18</f>
        <v>1.66</v>
      </c>
      <c r="O70" s="414"/>
      <c r="P70" s="414">
        <f>P18</f>
        <v>1.66</v>
      </c>
      <c r="Q70" s="414"/>
      <c r="R70" s="414">
        <f>R18</f>
        <v>1.66</v>
      </c>
      <c r="S70" s="414"/>
      <c r="T70" s="414">
        <f>T18</f>
        <v>1.66</v>
      </c>
      <c r="U70" s="414"/>
      <c r="V70" s="414">
        <f>V18</f>
        <v>1.66</v>
      </c>
      <c r="W70" s="414"/>
      <c r="X70" s="414">
        <f>X18</f>
        <v>1.66</v>
      </c>
      <c r="Y70" s="414"/>
      <c r="Z70" s="414">
        <f>Z18</f>
        <v>1.66</v>
      </c>
      <c r="AA70" s="414"/>
      <c r="AB70" s="414">
        <f>AB18</f>
        <v>1.66</v>
      </c>
      <c r="AC70" s="414"/>
      <c r="AD70" s="414">
        <f>AD18</f>
        <v>1.66</v>
      </c>
      <c r="AE70" s="414"/>
      <c r="AF70" s="414">
        <f>AF18</f>
        <v>1.66</v>
      </c>
      <c r="AG70" s="414"/>
      <c r="AH70" s="414">
        <f>AH18</f>
        <v>1.65</v>
      </c>
      <c r="AI70" s="414"/>
      <c r="AJ70" s="414">
        <f>AJ18</f>
        <v>1.65</v>
      </c>
      <c r="AK70" s="414"/>
      <c r="AL70" s="414">
        <f>AL18</f>
        <v>1.65</v>
      </c>
      <c r="AM70" s="414"/>
      <c r="AN70" s="414">
        <f>AN18</f>
        <v>1.65</v>
      </c>
      <c r="AO70" s="414"/>
      <c r="AP70" s="414">
        <f>AP18</f>
        <v>1.66</v>
      </c>
      <c r="AQ70" s="414"/>
      <c r="AR70" s="414">
        <f>AR18</f>
        <v>1.65</v>
      </c>
      <c r="AS70" s="414"/>
      <c r="AT70" s="414">
        <f>AT18</f>
        <v>1.65</v>
      </c>
    </row>
    <row r="71" spans="1:46" ht="16.5" thickBot="1">
      <c r="A71" s="1037" t="s">
        <v>117</v>
      </c>
      <c r="B71" s="1038"/>
      <c r="C71" s="415">
        <f t="shared" ref="C71:AT71" si="7">C66</f>
        <v>5386817.1799999988</v>
      </c>
      <c r="D71" s="442">
        <f t="shared" si="7"/>
        <v>5.2200000000000006</v>
      </c>
      <c r="E71" s="415">
        <f t="shared" si="7"/>
        <v>5390921.2699999996</v>
      </c>
      <c r="F71" s="442">
        <f t="shared" si="7"/>
        <v>5.25</v>
      </c>
      <c r="G71" s="415">
        <f t="shared" si="7"/>
        <v>5392629.3099999996</v>
      </c>
      <c r="H71" s="442">
        <f t="shared" si="7"/>
        <v>5.25</v>
      </c>
      <c r="I71" s="415">
        <f t="shared" si="7"/>
        <v>5401223.54</v>
      </c>
      <c r="J71" s="442">
        <f t="shared" si="7"/>
        <v>5.26</v>
      </c>
      <c r="K71" s="415">
        <f t="shared" si="7"/>
        <v>5581593.5000000009</v>
      </c>
      <c r="L71" s="442">
        <f t="shared" si="7"/>
        <v>5.43</v>
      </c>
      <c r="M71" s="415">
        <f t="shared" si="7"/>
        <v>5404718.6699999999</v>
      </c>
      <c r="N71" s="442">
        <f t="shared" si="7"/>
        <v>5.27</v>
      </c>
      <c r="O71" s="415">
        <f t="shared" si="7"/>
        <v>5315387.7800000012</v>
      </c>
      <c r="P71" s="442">
        <f t="shared" si="7"/>
        <v>5.169999999999999</v>
      </c>
      <c r="Q71" s="415">
        <f t="shared" si="7"/>
        <v>5321634.8499999996</v>
      </c>
      <c r="R71" s="442">
        <f t="shared" si="7"/>
        <v>5.1799999999999988</v>
      </c>
      <c r="S71" s="415">
        <f t="shared" si="7"/>
        <v>5337575.37</v>
      </c>
      <c r="T71" s="442">
        <f t="shared" si="7"/>
        <v>5.1899999999999986</v>
      </c>
      <c r="U71" s="415">
        <f t="shared" si="7"/>
        <v>5268149.8900000006</v>
      </c>
      <c r="V71" s="442">
        <f t="shared" si="7"/>
        <v>5.1299999999999981</v>
      </c>
      <c r="W71" s="415">
        <f t="shared" si="7"/>
        <v>5269906.0100000007</v>
      </c>
      <c r="X71" s="442">
        <f t="shared" si="7"/>
        <v>5.1199999999999983</v>
      </c>
      <c r="Y71" s="415">
        <f t="shared" si="7"/>
        <v>5271662.169999999</v>
      </c>
      <c r="Z71" s="442">
        <f t="shared" si="7"/>
        <v>5.1299999999999981</v>
      </c>
      <c r="AA71" s="415">
        <f t="shared" si="7"/>
        <v>5276930.58</v>
      </c>
      <c r="AB71" s="442">
        <f t="shared" si="7"/>
        <v>5.1199999999999983</v>
      </c>
      <c r="AC71" s="415">
        <f t="shared" si="7"/>
        <v>5286283.79</v>
      </c>
      <c r="AD71" s="442">
        <f t="shared" si="7"/>
        <v>5.1299999999999981</v>
      </c>
      <c r="AE71" s="415">
        <f t="shared" si="7"/>
        <v>5288039.9300000016</v>
      </c>
      <c r="AF71" s="442">
        <f t="shared" si="7"/>
        <v>5.1299999999999981</v>
      </c>
      <c r="AG71" s="415">
        <f t="shared" si="7"/>
        <v>5289828.76</v>
      </c>
      <c r="AH71" s="442">
        <f t="shared" si="7"/>
        <v>5.1299999999999981</v>
      </c>
      <c r="AI71" s="415">
        <f t="shared" si="7"/>
        <v>5291617.62</v>
      </c>
      <c r="AJ71" s="442">
        <f t="shared" si="7"/>
        <v>5.1299999999999981</v>
      </c>
      <c r="AK71" s="415">
        <f t="shared" si="7"/>
        <v>5270088.16</v>
      </c>
      <c r="AL71" s="442">
        <f t="shared" si="7"/>
        <v>5.1099999999999985</v>
      </c>
      <c r="AM71" s="415">
        <f t="shared" si="7"/>
        <v>5271250.01</v>
      </c>
      <c r="AN71" s="442">
        <f t="shared" si="7"/>
        <v>5.0999999999999988</v>
      </c>
      <c r="AO71" s="415">
        <f t="shared" si="7"/>
        <v>5273066.16</v>
      </c>
      <c r="AP71" s="442">
        <f t="shared" si="7"/>
        <v>5.1199999999999983</v>
      </c>
      <c r="AQ71" s="415">
        <f t="shared" si="7"/>
        <v>5274940.7299999986</v>
      </c>
      <c r="AR71" s="442">
        <f t="shared" si="7"/>
        <v>5.1099999999999985</v>
      </c>
      <c r="AS71" s="415">
        <f t="shared" si="7"/>
        <v>5442424.0500000017</v>
      </c>
      <c r="AT71" s="442">
        <f t="shared" si="7"/>
        <v>5.2499999999999991</v>
      </c>
    </row>
    <row r="72" spans="1:46" ht="16.5" thickBot="1">
      <c r="A72" s="151"/>
      <c r="B72" s="152" t="s">
        <v>111</v>
      </c>
      <c r="C72" s="416">
        <f t="shared" ref="C72:AT72" si="8">SUM(C67:C71)</f>
        <v>103038653.19</v>
      </c>
      <c r="D72" s="443">
        <f t="shared" si="8"/>
        <v>100</v>
      </c>
      <c r="E72" s="416">
        <f t="shared" si="8"/>
        <v>102632292.47999999</v>
      </c>
      <c r="F72" s="443">
        <f t="shared" si="8"/>
        <v>99.999999999999986</v>
      </c>
      <c r="G72" s="416">
        <f t="shared" si="8"/>
        <v>102679600.7</v>
      </c>
      <c r="H72" s="443">
        <f t="shared" si="8"/>
        <v>100</v>
      </c>
      <c r="I72" s="416">
        <f t="shared" si="8"/>
        <v>102606422.72</v>
      </c>
      <c r="J72" s="443">
        <f t="shared" si="8"/>
        <v>100</v>
      </c>
      <c r="K72" s="416">
        <f t="shared" si="8"/>
        <v>102730297.10000001</v>
      </c>
      <c r="L72" s="443">
        <f t="shared" si="8"/>
        <v>100</v>
      </c>
      <c r="M72" s="416">
        <f t="shared" si="8"/>
        <v>102658394.60000001</v>
      </c>
      <c r="N72" s="443">
        <f t="shared" si="8"/>
        <v>99.999999999999986</v>
      </c>
      <c r="O72" s="416">
        <f t="shared" si="8"/>
        <v>102742606.50000001</v>
      </c>
      <c r="P72" s="443">
        <f t="shared" si="8"/>
        <v>99.999999999999986</v>
      </c>
      <c r="Q72" s="416">
        <f t="shared" si="8"/>
        <v>102743806.06999999</v>
      </c>
      <c r="R72" s="443">
        <f t="shared" si="8"/>
        <v>99.999999999999986</v>
      </c>
      <c r="S72" s="416">
        <f t="shared" si="8"/>
        <v>102794417.23</v>
      </c>
      <c r="T72" s="443">
        <f t="shared" si="8"/>
        <v>100</v>
      </c>
      <c r="U72" s="416">
        <f t="shared" si="8"/>
        <v>102775796.7</v>
      </c>
      <c r="V72" s="443">
        <f t="shared" si="8"/>
        <v>100</v>
      </c>
      <c r="W72" s="416">
        <f t="shared" si="8"/>
        <v>102878937.86</v>
      </c>
      <c r="X72" s="443">
        <f t="shared" si="8"/>
        <v>100</v>
      </c>
      <c r="Y72" s="416">
        <f t="shared" si="8"/>
        <v>102754311.47</v>
      </c>
      <c r="Z72" s="443">
        <f t="shared" si="8"/>
        <v>100</v>
      </c>
      <c r="AA72" s="416">
        <f t="shared" si="8"/>
        <v>103011572.54000001</v>
      </c>
      <c r="AB72" s="443">
        <f t="shared" si="8"/>
        <v>100</v>
      </c>
      <c r="AC72" s="416">
        <f t="shared" si="8"/>
        <v>103003632.69</v>
      </c>
      <c r="AD72" s="443">
        <f t="shared" si="8"/>
        <v>99.999999999999986</v>
      </c>
      <c r="AE72" s="416">
        <f t="shared" si="8"/>
        <v>103048461.00000001</v>
      </c>
      <c r="AF72" s="443">
        <f t="shared" si="8"/>
        <v>99.999999999999986</v>
      </c>
      <c r="AG72" s="416">
        <f t="shared" si="8"/>
        <v>103109615.51000002</v>
      </c>
      <c r="AH72" s="443">
        <f t="shared" si="8"/>
        <v>100.00000000000001</v>
      </c>
      <c r="AI72" s="416">
        <f t="shared" si="8"/>
        <v>103166659.3</v>
      </c>
      <c r="AJ72" s="443">
        <f t="shared" si="8"/>
        <v>100.00000000000001</v>
      </c>
      <c r="AK72" s="416">
        <f t="shared" si="8"/>
        <v>103257769.61999999</v>
      </c>
      <c r="AL72" s="443">
        <f t="shared" si="8"/>
        <v>100.00000000000001</v>
      </c>
      <c r="AM72" s="416">
        <f t="shared" si="8"/>
        <v>103454835.64000002</v>
      </c>
      <c r="AN72" s="443">
        <f t="shared" si="8"/>
        <v>100</v>
      </c>
      <c r="AO72" s="416">
        <f t="shared" si="8"/>
        <v>103101935.18000001</v>
      </c>
      <c r="AP72" s="443" t="e">
        <f t="shared" si="8"/>
        <v>#DIV/0!</v>
      </c>
      <c r="AQ72" s="416">
        <f t="shared" si="8"/>
        <v>103326512.96000001</v>
      </c>
      <c r="AR72" s="443">
        <f t="shared" si="8"/>
        <v>100</v>
      </c>
      <c r="AS72" s="416">
        <f t="shared" si="8"/>
        <v>103704965.67</v>
      </c>
      <c r="AT72" s="443">
        <f t="shared" si="8"/>
        <v>100.00000000000001</v>
      </c>
    </row>
  </sheetData>
  <mergeCells count="40">
    <mergeCell ref="AQ1:AR1"/>
    <mergeCell ref="AS1:AT1"/>
    <mergeCell ref="A52:B52"/>
    <mergeCell ref="AK1:AL1"/>
    <mergeCell ref="Q1:R1"/>
    <mergeCell ref="O1:P1"/>
    <mergeCell ref="W1:X1"/>
    <mergeCell ref="AE1:AF1"/>
    <mergeCell ref="Y1:Z1"/>
    <mergeCell ref="AA1:AB1"/>
    <mergeCell ref="U1:V1"/>
    <mergeCell ref="S1:T1"/>
    <mergeCell ref="AC1:AD1"/>
    <mergeCell ref="AG1:AH1"/>
    <mergeCell ref="M1:N1"/>
    <mergeCell ref="G1:H1"/>
    <mergeCell ref="I1:J1"/>
    <mergeCell ref="K1:L1"/>
    <mergeCell ref="AI1:AJ1"/>
    <mergeCell ref="A65:B65"/>
    <mergeCell ref="E1:F1"/>
    <mergeCell ref="A15:B15"/>
    <mergeCell ref="A9:B9"/>
    <mergeCell ref="C1:D1"/>
    <mergeCell ref="AM1:AN1"/>
    <mergeCell ref="AO1:AP1"/>
    <mergeCell ref="A71:B71"/>
    <mergeCell ref="A18:B18"/>
    <mergeCell ref="A22:B22"/>
    <mergeCell ref="A35:B35"/>
    <mergeCell ref="A36:B36"/>
    <mergeCell ref="A37:B37"/>
    <mergeCell ref="A59:B59"/>
    <mergeCell ref="A66:B66"/>
    <mergeCell ref="A61:B61"/>
    <mergeCell ref="A63:B63"/>
    <mergeCell ref="A62:B62"/>
    <mergeCell ref="A60:B60"/>
    <mergeCell ref="A58:B58"/>
    <mergeCell ref="A57:B57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73"/>
  <sheetViews>
    <sheetView topLeftCell="AF69" zoomScale="130" zoomScaleNormal="130" workbookViewId="0">
      <selection activeCell="AQ69" sqref="AQ1:AS1048576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17" customWidth="1"/>
    <col min="4" max="4" width="12.5703125" style="417" customWidth="1"/>
    <col min="5" max="5" width="23.140625" style="417" customWidth="1"/>
    <col min="6" max="6" width="12.5703125" style="417" customWidth="1"/>
    <col min="7" max="7" width="23.140625" style="417" customWidth="1"/>
    <col min="8" max="8" width="12.5703125" style="417" customWidth="1"/>
    <col min="9" max="9" width="23.140625" style="417" customWidth="1"/>
    <col min="10" max="10" width="12.5703125" style="417" customWidth="1"/>
    <col min="11" max="11" width="23.140625" style="417" customWidth="1"/>
    <col min="12" max="12" width="12.5703125" style="417" customWidth="1"/>
    <col min="13" max="13" width="23.140625" style="417" customWidth="1"/>
    <col min="14" max="14" width="12.5703125" style="417" customWidth="1"/>
    <col min="15" max="15" width="23.140625" style="417" customWidth="1"/>
    <col min="16" max="16" width="12.5703125" style="417" customWidth="1"/>
    <col min="17" max="17" width="23.140625" style="417" customWidth="1"/>
    <col min="18" max="18" width="12.5703125" style="417" customWidth="1"/>
    <col min="19" max="19" width="23.140625" style="417" customWidth="1"/>
    <col min="20" max="20" width="12.5703125" style="417" customWidth="1"/>
    <col min="21" max="21" width="23.140625" style="417" customWidth="1"/>
    <col min="22" max="22" width="12.5703125" style="417" customWidth="1"/>
    <col min="23" max="23" width="23.140625" style="417" customWidth="1"/>
    <col min="24" max="24" width="12.5703125" style="417" customWidth="1"/>
    <col min="25" max="25" width="23.140625" style="417" customWidth="1"/>
    <col min="26" max="26" width="12.5703125" style="417" customWidth="1"/>
    <col min="27" max="27" width="23.140625" style="417" customWidth="1"/>
    <col min="28" max="28" width="12.5703125" style="417" customWidth="1"/>
    <col min="29" max="29" width="23.140625" style="417" customWidth="1"/>
    <col min="30" max="30" width="12.5703125" style="417" customWidth="1"/>
    <col min="31" max="31" width="23.140625" style="417" customWidth="1"/>
    <col min="32" max="32" width="12.5703125" style="417" customWidth="1"/>
    <col min="33" max="33" width="23.140625" style="417" customWidth="1"/>
    <col min="34" max="34" width="12.5703125" style="417" customWidth="1"/>
    <col min="35" max="35" width="23.140625" style="417" customWidth="1"/>
    <col min="36" max="36" width="12.5703125" style="417" customWidth="1"/>
    <col min="37" max="37" width="23.140625" style="417" hidden="1" customWidth="1"/>
    <col min="38" max="38" width="12.5703125" style="417" hidden="1" customWidth="1"/>
    <col min="39" max="39" width="23.140625" style="417" hidden="1" customWidth="1"/>
    <col min="40" max="40" width="12.5703125" style="417" hidden="1" customWidth="1"/>
    <col min="41" max="41" width="23.140625" style="417" customWidth="1"/>
    <col min="42" max="42" width="12.5703125" style="417" customWidth="1"/>
  </cols>
  <sheetData>
    <row r="1" spans="1:42">
      <c r="C1" s="1035">
        <v>3</v>
      </c>
      <c r="D1" s="1036"/>
      <c r="E1" s="1035">
        <v>4</v>
      </c>
      <c r="F1" s="1036"/>
      <c r="G1" s="1035">
        <v>5</v>
      </c>
      <c r="H1" s="1036"/>
      <c r="I1" s="1035">
        <v>6</v>
      </c>
      <c r="J1" s="1036"/>
      <c r="K1" s="1035">
        <v>7</v>
      </c>
      <c r="L1" s="1036"/>
      <c r="M1" s="1035">
        <v>10</v>
      </c>
      <c r="N1" s="1036"/>
      <c r="O1" s="1035">
        <v>11</v>
      </c>
      <c r="P1" s="1036"/>
      <c r="Q1" s="1035">
        <v>12</v>
      </c>
      <c r="R1" s="1036"/>
      <c r="S1" s="1035">
        <v>13</v>
      </c>
      <c r="T1" s="1036"/>
      <c r="U1" s="1035">
        <v>14</v>
      </c>
      <c r="V1" s="1036"/>
      <c r="W1" s="1035">
        <v>17</v>
      </c>
      <c r="X1" s="1036"/>
      <c r="Y1" s="1035">
        <v>18</v>
      </c>
      <c r="Z1" s="1036"/>
      <c r="AA1" s="1035">
        <v>19</v>
      </c>
      <c r="AB1" s="1036"/>
      <c r="AC1" s="1035">
        <v>20</v>
      </c>
      <c r="AD1" s="1036"/>
      <c r="AE1" s="1035">
        <v>21</v>
      </c>
      <c r="AF1" s="1036"/>
      <c r="AG1" s="1035">
        <v>24</v>
      </c>
      <c r="AH1" s="1036"/>
      <c r="AI1" s="1035">
        <v>25</v>
      </c>
      <c r="AJ1" s="1036"/>
      <c r="AK1" s="1035">
        <v>26</v>
      </c>
      <c r="AL1" s="1036"/>
      <c r="AM1" s="1035">
        <v>27</v>
      </c>
      <c r="AN1" s="1036"/>
      <c r="AO1" s="1035">
        <v>28</v>
      </c>
      <c r="AP1" s="1036"/>
    </row>
    <row r="2" spans="1:42">
      <c r="A2" s="418" t="s">
        <v>102</v>
      </c>
      <c r="B2" s="58" t="s">
        <v>15</v>
      </c>
      <c r="C2" s="200">
        <v>6208494</v>
      </c>
      <c r="D2" s="519">
        <v>5.98</v>
      </c>
      <c r="E2" s="200">
        <v>6210118</v>
      </c>
      <c r="F2" s="519">
        <v>5.98</v>
      </c>
      <c r="G2" s="200">
        <v>6212322</v>
      </c>
      <c r="H2" s="519">
        <v>6.0200000000000005</v>
      </c>
      <c r="I2" s="200">
        <v>6214584</v>
      </c>
      <c r="J2" s="519">
        <v>6.02</v>
      </c>
      <c r="K2" s="200">
        <v>6216846</v>
      </c>
      <c r="L2" s="519">
        <v>6.02</v>
      </c>
      <c r="M2" s="200">
        <v>6223574</v>
      </c>
      <c r="N2" s="519">
        <v>6.02</v>
      </c>
      <c r="O2" s="200">
        <v>6224908</v>
      </c>
      <c r="P2" s="519">
        <v>6.03</v>
      </c>
      <c r="Q2" s="200">
        <v>6227228</v>
      </c>
      <c r="R2" s="519">
        <v>6.03</v>
      </c>
      <c r="S2" s="200">
        <v>6229490</v>
      </c>
      <c r="T2" s="519">
        <v>6.04</v>
      </c>
      <c r="U2" s="200">
        <v>6231810</v>
      </c>
      <c r="V2" s="519">
        <v>6.04</v>
      </c>
      <c r="W2" s="205">
        <v>6235542.2999999998</v>
      </c>
      <c r="X2" s="507">
        <v>6.03</v>
      </c>
      <c r="Y2" s="205">
        <v>6240212.46</v>
      </c>
      <c r="Z2" s="507">
        <v>6.04</v>
      </c>
      <c r="AA2" s="205">
        <v>6243294</v>
      </c>
      <c r="AB2" s="507">
        <v>6.05</v>
      </c>
      <c r="AC2" s="205">
        <v>6245556</v>
      </c>
      <c r="AD2" s="507">
        <v>6.04</v>
      </c>
      <c r="AE2" s="205">
        <v>6247876</v>
      </c>
      <c r="AF2" s="507">
        <v>6.04</v>
      </c>
      <c r="AG2" s="200">
        <v>6254778</v>
      </c>
      <c r="AH2" s="519">
        <v>6.04</v>
      </c>
      <c r="AI2" s="200">
        <v>6257098</v>
      </c>
      <c r="AJ2" s="519">
        <v>6.04</v>
      </c>
      <c r="AK2" s="200"/>
      <c r="AL2" s="519"/>
      <c r="AM2" s="200">
        <v>6593448</v>
      </c>
      <c r="AN2" s="519">
        <v>6.39</v>
      </c>
      <c r="AO2" s="200">
        <v>6596737.5</v>
      </c>
      <c r="AP2" s="519">
        <v>6.38</v>
      </c>
    </row>
    <row r="3" spans="1:42">
      <c r="A3" s="418" t="s">
        <v>66</v>
      </c>
      <c r="B3" s="58" t="s">
        <v>15</v>
      </c>
      <c r="C3" s="200">
        <v>4397299.68</v>
      </c>
      <c r="D3" s="519">
        <v>4.24</v>
      </c>
      <c r="E3" s="200">
        <v>4396784.16</v>
      </c>
      <c r="F3" s="519">
        <v>4.24</v>
      </c>
      <c r="G3" s="200">
        <v>4398502.5599999996</v>
      </c>
      <c r="H3" s="519">
        <v>4.26</v>
      </c>
      <c r="I3" s="200">
        <v>4400263.92</v>
      </c>
      <c r="J3" s="519">
        <v>4.26</v>
      </c>
      <c r="K3" s="200">
        <v>4401982.32</v>
      </c>
      <c r="L3" s="519">
        <v>4.26</v>
      </c>
      <c r="M3" s="200">
        <v>4407180.4800000004</v>
      </c>
      <c r="N3" s="519">
        <v>4.26</v>
      </c>
      <c r="O3" s="200">
        <v>4406879.76</v>
      </c>
      <c r="P3" s="519">
        <v>4.2699999999999996</v>
      </c>
      <c r="Q3" s="200">
        <v>4408598.16</v>
      </c>
      <c r="R3" s="519">
        <v>4.2699999999999996</v>
      </c>
      <c r="S3" s="200">
        <v>4410316.5599999996</v>
      </c>
      <c r="T3" s="519">
        <v>4.28</v>
      </c>
      <c r="U3" s="200">
        <v>4412034.96</v>
      </c>
      <c r="V3" s="519">
        <v>4.2799999999999994</v>
      </c>
      <c r="W3" s="200">
        <v>4417190.16</v>
      </c>
      <c r="X3" s="519">
        <v>4.2699999999999996</v>
      </c>
      <c r="Y3" s="200">
        <v>4416245.04</v>
      </c>
      <c r="Z3" s="519">
        <v>4.2699999999999996</v>
      </c>
      <c r="AA3" s="200">
        <v>4418006.4000000004</v>
      </c>
      <c r="AB3" s="519">
        <v>4.28</v>
      </c>
      <c r="AC3" s="200">
        <v>4419767.76</v>
      </c>
      <c r="AD3" s="519">
        <v>4.2699999999999996</v>
      </c>
      <c r="AE3" s="200">
        <v>4421486.16</v>
      </c>
      <c r="AF3" s="519">
        <v>4.2699999999999996</v>
      </c>
      <c r="AG3" s="200">
        <v>4426770.24</v>
      </c>
      <c r="AH3" s="519">
        <v>4.28</v>
      </c>
      <c r="AI3" s="200">
        <v>4426727.28</v>
      </c>
      <c r="AJ3" s="519">
        <v>4.2799999999999994</v>
      </c>
      <c r="AK3" s="200">
        <v>4428488.6399999997</v>
      </c>
      <c r="AL3" s="519">
        <v>4.28</v>
      </c>
      <c r="AM3" s="200">
        <v>4430250</v>
      </c>
      <c r="AN3" s="519">
        <v>4.29</v>
      </c>
      <c r="AO3" s="200">
        <v>4434889.68</v>
      </c>
      <c r="AP3" s="519">
        <v>4.29</v>
      </c>
    </row>
    <row r="4" spans="1:42">
      <c r="A4" s="418" t="s">
        <v>123</v>
      </c>
      <c r="B4" s="58" t="s">
        <v>15</v>
      </c>
      <c r="C4" s="200">
        <v>10016620.34</v>
      </c>
      <c r="D4" s="520">
        <v>9.65</v>
      </c>
      <c r="E4" s="522">
        <v>10007114.960000001</v>
      </c>
      <c r="F4" s="523">
        <v>9.64</v>
      </c>
      <c r="G4" s="200">
        <v>10019136.470000001</v>
      </c>
      <c r="H4" s="520">
        <v>9.7200000000000006</v>
      </c>
      <c r="I4" s="200">
        <v>10023236.83</v>
      </c>
      <c r="J4" s="520">
        <v>9.6999999999999993</v>
      </c>
      <c r="K4" s="200">
        <v>10027244</v>
      </c>
      <c r="L4" s="520">
        <v>9.6999999999999993</v>
      </c>
      <c r="M4" s="200">
        <v>10030545.720000001</v>
      </c>
      <c r="N4" s="520">
        <v>9.6999999999999993</v>
      </c>
      <c r="O4" s="205">
        <v>10034357.189999999</v>
      </c>
      <c r="P4" s="508">
        <v>9.7200000000000006</v>
      </c>
      <c r="Q4" s="205">
        <v>10038261.85</v>
      </c>
      <c r="R4" s="508">
        <v>9.7200000000000006</v>
      </c>
      <c r="S4" s="200">
        <v>10049795.98</v>
      </c>
      <c r="T4" s="520">
        <v>9.74</v>
      </c>
      <c r="U4" s="205">
        <v>10046071.18</v>
      </c>
      <c r="V4" s="508">
        <v>9.73</v>
      </c>
      <c r="W4" s="205">
        <v>10057692.9</v>
      </c>
      <c r="X4" s="508">
        <v>9.7200000000000006</v>
      </c>
      <c r="Y4" s="200">
        <v>10058835.41</v>
      </c>
      <c r="Z4" s="520">
        <v>9.73</v>
      </c>
      <c r="AA4" s="200">
        <v>10065502.220000001</v>
      </c>
      <c r="AB4" s="520">
        <v>9.75</v>
      </c>
      <c r="AC4" s="200">
        <v>10069500.07</v>
      </c>
      <c r="AD4" s="520">
        <v>9.73</v>
      </c>
      <c r="AE4" s="200">
        <v>10071043.300000001</v>
      </c>
      <c r="AF4" s="520">
        <v>9.73</v>
      </c>
      <c r="AG4" s="205">
        <v>10085025.529999999</v>
      </c>
      <c r="AH4" s="508">
        <v>9.74</v>
      </c>
      <c r="AI4" s="205">
        <v>10088931.119999999</v>
      </c>
      <c r="AJ4" s="508">
        <v>9.74</v>
      </c>
      <c r="AK4" s="205">
        <v>10092835.779999999</v>
      </c>
      <c r="AL4" s="508">
        <v>9.75</v>
      </c>
      <c r="AM4" s="205">
        <v>10096740.439999999</v>
      </c>
      <c r="AN4" s="508">
        <v>9.7799999999999994</v>
      </c>
      <c r="AO4" s="205">
        <v>10100645.1</v>
      </c>
      <c r="AP4" s="508">
        <v>9.76</v>
      </c>
    </row>
    <row r="5" spans="1:42">
      <c r="A5" s="418" t="s">
        <v>115</v>
      </c>
      <c r="B5" s="58" t="s">
        <v>15</v>
      </c>
      <c r="C5" s="200">
        <v>8016294</v>
      </c>
      <c r="D5" s="505">
        <v>7.72</v>
      </c>
      <c r="E5" s="200">
        <v>8014968</v>
      </c>
      <c r="F5" s="505">
        <v>7.72</v>
      </c>
      <c r="G5" s="200">
        <v>8018322</v>
      </c>
      <c r="H5" s="505">
        <v>7.78</v>
      </c>
      <c r="I5" s="200">
        <v>8021676</v>
      </c>
      <c r="J5" s="505">
        <v>7.77</v>
      </c>
      <c r="K5" s="200">
        <v>8024952</v>
      </c>
      <c r="L5" s="505">
        <v>7.76</v>
      </c>
      <c r="M5" s="200">
        <v>8027231.1600000001</v>
      </c>
      <c r="N5" s="505">
        <v>7.77</v>
      </c>
      <c r="O5" s="205">
        <v>8030300.46</v>
      </c>
      <c r="P5" s="542">
        <v>7.7700000000000005</v>
      </c>
      <c r="Q5" s="205">
        <v>8033525.7599999998</v>
      </c>
      <c r="R5" s="542">
        <v>7.78</v>
      </c>
      <c r="S5" s="205">
        <v>8030355.0599999996</v>
      </c>
      <c r="T5" s="542">
        <v>7.78</v>
      </c>
      <c r="U5" s="205">
        <v>8033503.1399999997</v>
      </c>
      <c r="V5" s="542">
        <v>7.78</v>
      </c>
      <c r="W5" s="205">
        <v>8043101.04</v>
      </c>
      <c r="X5" s="542">
        <v>7.77</v>
      </c>
      <c r="Y5" s="200">
        <v>8049210</v>
      </c>
      <c r="Z5" s="505">
        <v>7.78</v>
      </c>
      <c r="AA5" s="200">
        <v>8052564</v>
      </c>
      <c r="AB5" s="505">
        <v>7.8</v>
      </c>
      <c r="AC5" s="200">
        <v>8055918</v>
      </c>
      <c r="AD5" s="505">
        <v>7.79</v>
      </c>
      <c r="AE5" s="200">
        <v>8055847.0199999996</v>
      </c>
      <c r="AF5" s="505">
        <v>7.79</v>
      </c>
      <c r="AG5" s="205">
        <v>8065522.9199999999</v>
      </c>
      <c r="AH5" s="542">
        <v>7.8</v>
      </c>
      <c r="AI5" s="205">
        <v>8060208</v>
      </c>
      <c r="AJ5" s="542">
        <v>7.78</v>
      </c>
      <c r="AK5" s="205">
        <v>8063640</v>
      </c>
      <c r="AL5" s="542">
        <v>7.79</v>
      </c>
      <c r="AM5" s="205">
        <v>8075121.5999999996</v>
      </c>
      <c r="AN5" s="542">
        <v>7.82</v>
      </c>
      <c r="AO5" s="205">
        <v>8084430.9000000004</v>
      </c>
      <c r="AP5" s="542">
        <v>7.82</v>
      </c>
    </row>
    <row r="6" spans="1:42">
      <c r="A6" s="418" t="s">
        <v>118</v>
      </c>
      <c r="B6" s="58" t="s">
        <v>15</v>
      </c>
      <c r="C6" s="200">
        <v>7987471.1600000001</v>
      </c>
      <c r="D6" s="506">
        <v>7.7</v>
      </c>
      <c r="E6" s="200">
        <v>7985982.2999999998</v>
      </c>
      <c r="F6" s="506">
        <v>7.69</v>
      </c>
      <c r="G6" s="205">
        <v>7790739.3300000001</v>
      </c>
      <c r="H6" s="525">
        <v>7.56</v>
      </c>
      <c r="I6" s="200">
        <v>7992550.7999999998</v>
      </c>
      <c r="J6" s="506">
        <v>7.74</v>
      </c>
      <c r="K6" s="200">
        <v>7995878.8399999999</v>
      </c>
      <c r="L6" s="506">
        <v>7.74</v>
      </c>
      <c r="M6" s="200">
        <v>8005775.3799999999</v>
      </c>
      <c r="N6" s="506">
        <v>7.74</v>
      </c>
      <c r="O6" s="200">
        <v>8006038.1200000001</v>
      </c>
      <c r="P6" s="506">
        <v>7.75</v>
      </c>
      <c r="Q6" s="200">
        <v>8009366.1600000001</v>
      </c>
      <c r="R6" s="506">
        <v>7.75</v>
      </c>
      <c r="S6" s="200">
        <v>8012781.7800000003</v>
      </c>
      <c r="T6" s="506">
        <v>7.77</v>
      </c>
      <c r="U6" s="205">
        <v>7855816.5199999996</v>
      </c>
      <c r="V6" s="525">
        <v>7.61</v>
      </c>
      <c r="W6" s="200">
        <v>8026356.6799999997</v>
      </c>
      <c r="X6" s="506">
        <v>7.76</v>
      </c>
      <c r="Y6" s="200">
        <v>8004111.3600000003</v>
      </c>
      <c r="Z6" s="506">
        <v>7.74</v>
      </c>
      <c r="AA6" s="200">
        <v>7872936.6600000001</v>
      </c>
      <c r="AB6" s="506">
        <v>7.63</v>
      </c>
      <c r="AC6" s="200">
        <v>8010942.5999999996</v>
      </c>
      <c r="AD6" s="506">
        <v>7.74</v>
      </c>
      <c r="AE6" s="200">
        <v>8014270.6399999997</v>
      </c>
      <c r="AF6" s="506">
        <v>7.74</v>
      </c>
      <c r="AG6" s="200">
        <v>8024429.9199999999</v>
      </c>
      <c r="AH6" s="506">
        <v>7.75</v>
      </c>
      <c r="AI6" s="200">
        <v>8019175.1200000001</v>
      </c>
      <c r="AJ6" s="506">
        <v>7.74</v>
      </c>
      <c r="AK6" s="200">
        <v>7896957.2300000004</v>
      </c>
      <c r="AL6" s="506">
        <v>7.63</v>
      </c>
      <c r="AM6" s="205">
        <v>7900539.25</v>
      </c>
      <c r="AN6" s="525">
        <v>7.65</v>
      </c>
      <c r="AO6" s="205">
        <v>7903945.2400000002</v>
      </c>
      <c r="AP6" s="525">
        <v>7.64</v>
      </c>
    </row>
    <row r="7" spans="1:42">
      <c r="A7" s="477" t="s">
        <v>124</v>
      </c>
      <c r="B7" s="58" t="s">
        <v>15</v>
      </c>
      <c r="C7" s="200">
        <v>8485469</v>
      </c>
      <c r="D7" s="506">
        <v>8.17</v>
      </c>
      <c r="E7" s="200">
        <v>8483494</v>
      </c>
      <c r="F7" s="506">
        <v>8.17</v>
      </c>
      <c r="G7" s="200">
        <v>8486970</v>
      </c>
      <c r="H7" s="506">
        <v>8.23</v>
      </c>
      <c r="I7" s="200">
        <v>8490446</v>
      </c>
      <c r="J7" s="506">
        <v>8.2200000000000006</v>
      </c>
      <c r="K7" s="200">
        <v>8493922</v>
      </c>
      <c r="L7" s="506">
        <v>8.2200000000000006</v>
      </c>
      <c r="M7" s="200">
        <v>8504429</v>
      </c>
      <c r="N7" s="506">
        <v>8.23</v>
      </c>
      <c r="O7" s="200">
        <v>8362072.5800000001</v>
      </c>
      <c r="P7" s="506">
        <v>8.1</v>
      </c>
      <c r="Q7" s="200">
        <v>8506246</v>
      </c>
      <c r="R7" s="506">
        <v>8.23</v>
      </c>
      <c r="S7" s="200">
        <v>8304769.9299999997</v>
      </c>
      <c r="T7" s="506">
        <v>8.0500000000000007</v>
      </c>
      <c r="U7" s="200">
        <v>8513356</v>
      </c>
      <c r="V7" s="506">
        <v>8.25</v>
      </c>
      <c r="W7" s="200">
        <v>8524100</v>
      </c>
      <c r="X7" s="506">
        <v>8.24</v>
      </c>
      <c r="Y7" s="200">
        <v>8501901</v>
      </c>
      <c r="Z7" s="506">
        <v>8.2200000000000006</v>
      </c>
      <c r="AA7" s="200">
        <v>8505456</v>
      </c>
      <c r="AB7" s="506">
        <v>8.24</v>
      </c>
      <c r="AC7" s="200">
        <v>8509011</v>
      </c>
      <c r="AD7" s="506">
        <v>8.2200000000000006</v>
      </c>
      <c r="AE7" s="200">
        <v>8512566</v>
      </c>
      <c r="AF7" s="506">
        <v>8.23</v>
      </c>
      <c r="AG7" s="200">
        <v>8523310</v>
      </c>
      <c r="AH7" s="506">
        <v>8.24</v>
      </c>
      <c r="AI7" s="200">
        <v>8520150</v>
      </c>
      <c r="AJ7" s="506">
        <v>8.23</v>
      </c>
      <c r="AK7" s="200">
        <v>8523626</v>
      </c>
      <c r="AL7" s="506">
        <v>8.24</v>
      </c>
      <c r="AM7" s="205">
        <v>8419994.5899999999</v>
      </c>
      <c r="AN7" s="525">
        <v>8.15</v>
      </c>
      <c r="AO7" s="205">
        <v>8416504.3699999992</v>
      </c>
      <c r="AP7" s="525">
        <v>8.14</v>
      </c>
    </row>
    <row r="8" spans="1:42">
      <c r="A8" s="418" t="s">
        <v>119</v>
      </c>
      <c r="B8" s="58" t="s">
        <v>15</v>
      </c>
      <c r="C8" s="200">
        <v>5542020</v>
      </c>
      <c r="D8" s="506">
        <v>5.34</v>
      </c>
      <c r="E8" s="200">
        <v>5540535</v>
      </c>
      <c r="F8" s="506">
        <v>5.34</v>
      </c>
      <c r="G8" s="200">
        <v>5542812</v>
      </c>
      <c r="H8" s="506">
        <v>5.38</v>
      </c>
      <c r="I8" s="200">
        <v>5545039.5</v>
      </c>
      <c r="J8" s="506">
        <v>5.37</v>
      </c>
      <c r="K8" s="200">
        <v>5547267</v>
      </c>
      <c r="L8" s="506">
        <v>5.37</v>
      </c>
      <c r="M8" s="200">
        <v>5554048.5</v>
      </c>
      <c r="N8" s="506">
        <v>5.37</v>
      </c>
      <c r="O8" s="200">
        <v>5550732</v>
      </c>
      <c r="P8" s="506">
        <v>5.37</v>
      </c>
      <c r="Q8" s="200">
        <v>5553009</v>
      </c>
      <c r="R8" s="506">
        <v>5.37</v>
      </c>
      <c r="S8" s="200">
        <v>5555335.5</v>
      </c>
      <c r="T8" s="506">
        <v>5.39</v>
      </c>
      <c r="U8" s="200">
        <v>5557612.5</v>
      </c>
      <c r="V8" s="506">
        <v>5.39</v>
      </c>
      <c r="W8" s="200">
        <v>5564542.5</v>
      </c>
      <c r="X8" s="506">
        <v>5.38</v>
      </c>
      <c r="Y8" s="200">
        <v>5551326</v>
      </c>
      <c r="Z8" s="506">
        <v>5.37</v>
      </c>
      <c r="AA8" s="200">
        <v>5472148.7699999996</v>
      </c>
      <c r="AB8" s="506">
        <v>5.3</v>
      </c>
      <c r="AC8" s="200">
        <v>5555929.5</v>
      </c>
      <c r="AD8" s="506">
        <v>5.37</v>
      </c>
      <c r="AE8" s="200">
        <v>5558256</v>
      </c>
      <c r="AF8" s="506">
        <v>5.37</v>
      </c>
      <c r="AG8" s="205">
        <v>5483998.5700000003</v>
      </c>
      <c r="AH8" s="525">
        <v>5.3</v>
      </c>
      <c r="AI8" s="205">
        <v>5565829.5</v>
      </c>
      <c r="AJ8" s="525">
        <v>5.37</v>
      </c>
      <c r="AK8" s="205">
        <v>5134981.5</v>
      </c>
      <c r="AL8" s="525">
        <v>4.96</v>
      </c>
      <c r="AM8" s="205">
        <v>5057864.46</v>
      </c>
      <c r="AN8" s="525">
        <v>4.9000000000000004</v>
      </c>
      <c r="AO8" s="205">
        <v>5060539.4400000004</v>
      </c>
      <c r="AP8" s="525">
        <v>4.8899999999999997</v>
      </c>
    </row>
    <row r="9" spans="1:42" ht="16.5" thickBot="1">
      <c r="A9" s="1020" t="s">
        <v>113</v>
      </c>
      <c r="B9" s="1048"/>
      <c r="C9" s="444">
        <f t="shared" ref="C9:AP9" si="0">SUM(C2:C8)</f>
        <v>50653668.18</v>
      </c>
      <c r="D9" s="444">
        <f t="shared" si="0"/>
        <v>48.8</v>
      </c>
      <c r="E9" s="444">
        <f t="shared" si="0"/>
        <v>50638996.420000002</v>
      </c>
      <c r="F9" s="444">
        <f t="shared" si="0"/>
        <v>48.78</v>
      </c>
      <c r="G9" s="444">
        <f t="shared" si="0"/>
        <v>50468804.359999999</v>
      </c>
      <c r="H9" s="444">
        <f t="shared" si="0"/>
        <v>48.95000000000001</v>
      </c>
      <c r="I9" s="444">
        <f t="shared" si="0"/>
        <v>50687797.049999997</v>
      </c>
      <c r="J9" s="444">
        <f t="shared" si="0"/>
        <v>49.079999999999991</v>
      </c>
      <c r="K9" s="444">
        <f t="shared" si="0"/>
        <v>50708092.159999996</v>
      </c>
      <c r="L9" s="444">
        <f t="shared" si="0"/>
        <v>49.069999999999993</v>
      </c>
      <c r="M9" s="444">
        <f t="shared" si="0"/>
        <v>50752784.240000002</v>
      </c>
      <c r="N9" s="444">
        <f t="shared" si="0"/>
        <v>49.089999999999996</v>
      </c>
      <c r="O9" s="444">
        <f t="shared" si="0"/>
        <v>50615288.109999999</v>
      </c>
      <c r="P9" s="444">
        <f t="shared" si="0"/>
        <v>49.010000000000005</v>
      </c>
      <c r="Q9" s="444">
        <f t="shared" si="0"/>
        <v>50776234.929999992</v>
      </c>
      <c r="R9" s="444">
        <f t="shared" si="0"/>
        <v>49.15</v>
      </c>
      <c r="S9" s="444">
        <f t="shared" si="0"/>
        <v>50592844.809999995</v>
      </c>
      <c r="T9" s="444">
        <f t="shared" si="0"/>
        <v>49.05</v>
      </c>
      <c r="U9" s="444">
        <f t="shared" si="0"/>
        <v>50650204.299999997</v>
      </c>
      <c r="V9" s="444">
        <f t="shared" si="0"/>
        <v>49.080000000000005</v>
      </c>
      <c r="W9" s="444">
        <f t="shared" si="0"/>
        <v>50868525.579999998</v>
      </c>
      <c r="X9" s="444">
        <f t="shared" si="0"/>
        <v>49.170000000000009</v>
      </c>
      <c r="Y9" s="444">
        <f t="shared" si="0"/>
        <v>50821841.270000003</v>
      </c>
      <c r="Z9" s="444">
        <f t="shared" si="0"/>
        <v>49.15</v>
      </c>
      <c r="AA9" s="444">
        <f t="shared" si="0"/>
        <v>50629908.049999997</v>
      </c>
      <c r="AB9" s="444">
        <f t="shared" si="0"/>
        <v>49.05</v>
      </c>
      <c r="AC9" s="444">
        <f t="shared" si="0"/>
        <v>50866624.93</v>
      </c>
      <c r="AD9" s="444">
        <f t="shared" si="0"/>
        <v>49.16</v>
      </c>
      <c r="AE9" s="444">
        <f t="shared" si="0"/>
        <v>50881345.119999997</v>
      </c>
      <c r="AF9" s="444">
        <f t="shared" si="0"/>
        <v>49.169999999999995</v>
      </c>
      <c r="AG9" s="444">
        <f t="shared" si="0"/>
        <v>50863835.18</v>
      </c>
      <c r="AH9" s="444">
        <f t="shared" si="0"/>
        <v>49.15</v>
      </c>
      <c r="AI9" s="444">
        <f t="shared" si="0"/>
        <v>50938119.019999996</v>
      </c>
      <c r="AJ9" s="444">
        <f t="shared" si="0"/>
        <v>49.18</v>
      </c>
      <c r="AK9" s="444">
        <f t="shared" si="0"/>
        <v>44140529.149999999</v>
      </c>
      <c r="AL9" s="444">
        <f t="shared" si="0"/>
        <v>42.65</v>
      </c>
      <c r="AM9" s="444">
        <f t="shared" si="0"/>
        <v>50573958.339999996</v>
      </c>
      <c r="AN9" s="444">
        <f t="shared" si="0"/>
        <v>48.98</v>
      </c>
      <c r="AO9" s="444">
        <f t="shared" si="0"/>
        <v>50597692.229999997</v>
      </c>
      <c r="AP9" s="444">
        <f t="shared" si="0"/>
        <v>48.92</v>
      </c>
    </row>
    <row r="10" spans="1:42" ht="15">
      <c r="A10" s="419" t="s">
        <v>25</v>
      </c>
      <c r="B10" s="422" t="s">
        <v>26</v>
      </c>
      <c r="C10" s="452">
        <v>3846580.44</v>
      </c>
      <c r="D10" s="448">
        <v>3.71</v>
      </c>
      <c r="E10" s="452">
        <v>3847926.76</v>
      </c>
      <c r="F10" s="448">
        <v>3.71</v>
      </c>
      <c r="G10" s="452">
        <v>3849273.84</v>
      </c>
      <c r="H10" s="448">
        <v>3.7399999999999998</v>
      </c>
      <c r="I10" s="452">
        <v>3850621.3</v>
      </c>
      <c r="J10" s="448">
        <v>3.73</v>
      </c>
      <c r="K10" s="452">
        <v>3851969.14</v>
      </c>
      <c r="L10" s="448">
        <v>3.73</v>
      </c>
      <c r="M10" s="452">
        <v>3856015.31</v>
      </c>
      <c r="N10" s="448">
        <v>3.73</v>
      </c>
      <c r="O10" s="452">
        <v>3857365.04</v>
      </c>
      <c r="P10" s="448">
        <v>3.74</v>
      </c>
      <c r="Q10" s="452">
        <v>3858715.15</v>
      </c>
      <c r="R10" s="448">
        <v>3.73</v>
      </c>
      <c r="S10" s="452">
        <v>3860066.01</v>
      </c>
      <c r="T10" s="448">
        <v>3.74</v>
      </c>
      <c r="U10" s="452">
        <v>3861417.26</v>
      </c>
      <c r="V10" s="448">
        <v>3.74</v>
      </c>
      <c r="W10" s="452">
        <v>3865473.27</v>
      </c>
      <c r="X10" s="448">
        <v>3.74</v>
      </c>
      <c r="Y10" s="452">
        <v>3866826.4</v>
      </c>
      <c r="Z10" s="448">
        <v>3.74</v>
      </c>
      <c r="AA10" s="452">
        <v>3868179.92</v>
      </c>
      <c r="AB10" s="448">
        <v>3.75</v>
      </c>
      <c r="AC10" s="452">
        <v>3869533.81</v>
      </c>
      <c r="AD10" s="448">
        <v>3.74</v>
      </c>
      <c r="AE10" s="452">
        <v>3870888.46</v>
      </c>
      <c r="AF10" s="448">
        <v>3.74</v>
      </c>
      <c r="AG10" s="452">
        <v>3874954.69</v>
      </c>
      <c r="AH10" s="448">
        <v>3.74</v>
      </c>
      <c r="AI10" s="452">
        <v>3876310.86</v>
      </c>
      <c r="AJ10" s="448">
        <v>3.74</v>
      </c>
      <c r="AK10" s="452">
        <v>3877667.78</v>
      </c>
      <c r="AL10" s="448">
        <v>3.75</v>
      </c>
      <c r="AM10" s="452">
        <v>3879025.08</v>
      </c>
      <c r="AN10" s="448">
        <v>3.76</v>
      </c>
      <c r="AO10" s="452">
        <v>3880383.14</v>
      </c>
      <c r="AP10" s="448">
        <v>3.75</v>
      </c>
    </row>
    <row r="11" spans="1:42" ht="15">
      <c r="A11" s="419" t="s">
        <v>116</v>
      </c>
      <c r="B11" s="422" t="s">
        <v>117</v>
      </c>
      <c r="C11" s="451">
        <v>2443645.09</v>
      </c>
      <c r="D11" s="448">
        <v>2.35</v>
      </c>
      <c r="E11" s="451">
        <v>2444759.98</v>
      </c>
      <c r="F11" s="448">
        <v>2.3699999999999997</v>
      </c>
      <c r="G11" s="451">
        <v>2445875.35</v>
      </c>
      <c r="H11" s="448">
        <v>2.37</v>
      </c>
      <c r="I11" s="451">
        <v>2446991.19</v>
      </c>
      <c r="J11" s="448">
        <v>2.37</v>
      </c>
      <c r="K11" s="451">
        <v>2448107.5099999998</v>
      </c>
      <c r="L11" s="448">
        <v>2.37</v>
      </c>
      <c r="M11" s="451">
        <v>2451459.59</v>
      </c>
      <c r="N11" s="448">
        <v>2.37</v>
      </c>
      <c r="O11" s="451">
        <v>2452578.0699999998</v>
      </c>
      <c r="P11" s="448">
        <v>2.37</v>
      </c>
      <c r="Q11" s="451">
        <v>2453697.02</v>
      </c>
      <c r="R11" s="448">
        <v>2.37</v>
      </c>
      <c r="S11" s="451">
        <v>2454816.46</v>
      </c>
      <c r="T11" s="448">
        <v>2.38</v>
      </c>
      <c r="U11" s="451">
        <v>2455936.37</v>
      </c>
      <c r="V11" s="448">
        <v>2.38</v>
      </c>
      <c r="W11" s="451">
        <v>2459299.2200000002</v>
      </c>
      <c r="X11" s="448">
        <v>2.38</v>
      </c>
      <c r="Y11" s="451">
        <v>2460421.29</v>
      </c>
      <c r="Z11" s="448">
        <v>2.38</v>
      </c>
      <c r="AA11" s="451">
        <v>2461543.84</v>
      </c>
      <c r="AB11" s="448">
        <v>2.38</v>
      </c>
      <c r="AC11" s="451">
        <v>2462666.63</v>
      </c>
      <c r="AD11" s="448">
        <v>2.38</v>
      </c>
      <c r="AE11" s="451">
        <v>2463790.37</v>
      </c>
      <c r="AF11" s="448">
        <v>2.38</v>
      </c>
      <c r="AG11" s="451">
        <v>2467163.9900000002</v>
      </c>
      <c r="AH11" s="448">
        <v>2.38</v>
      </c>
      <c r="AI11" s="451">
        <v>2468289.41</v>
      </c>
      <c r="AJ11" s="448">
        <v>2.38</v>
      </c>
      <c r="AK11" s="451">
        <v>2469415.5499999998</v>
      </c>
      <c r="AL11" s="448">
        <v>2.3800000000000003</v>
      </c>
      <c r="AM11" s="451">
        <v>2470542.17</v>
      </c>
      <c r="AN11" s="448">
        <v>2.39</v>
      </c>
      <c r="AO11" s="451">
        <v>2471669.2599999998</v>
      </c>
      <c r="AP11" s="448">
        <v>2.39</v>
      </c>
    </row>
    <row r="12" spans="1:42" ht="15">
      <c r="A12" s="497"/>
      <c r="B12" s="498"/>
      <c r="C12" s="451">
        <v>0</v>
      </c>
      <c r="D12" s="449">
        <v>0</v>
      </c>
      <c r="E12" s="451">
        <v>0</v>
      </c>
      <c r="F12" s="449">
        <v>0</v>
      </c>
      <c r="G12" s="451">
        <v>0</v>
      </c>
      <c r="H12" s="449">
        <v>0</v>
      </c>
      <c r="I12" s="451">
        <v>0</v>
      </c>
      <c r="J12" s="449">
        <v>0</v>
      </c>
      <c r="K12" s="451">
        <v>0</v>
      </c>
      <c r="L12" s="449">
        <v>0</v>
      </c>
      <c r="M12" s="451">
        <v>0</v>
      </c>
      <c r="N12" s="449">
        <v>0</v>
      </c>
      <c r="O12" s="451">
        <v>0</v>
      </c>
      <c r="P12" s="449">
        <v>0</v>
      </c>
      <c r="Q12" s="451">
        <v>0</v>
      </c>
      <c r="R12" s="449">
        <v>0</v>
      </c>
      <c r="S12" s="451">
        <v>0</v>
      </c>
      <c r="T12" s="449">
        <v>0</v>
      </c>
      <c r="U12" s="451">
        <v>0</v>
      </c>
      <c r="V12" s="449">
        <v>0</v>
      </c>
      <c r="W12" s="451">
        <v>0</v>
      </c>
      <c r="X12" s="449">
        <v>0</v>
      </c>
      <c r="Y12" s="451">
        <v>0</v>
      </c>
      <c r="Z12" s="449">
        <v>0</v>
      </c>
      <c r="AA12" s="451">
        <v>0</v>
      </c>
      <c r="AB12" s="449">
        <v>0</v>
      </c>
      <c r="AC12" s="451">
        <v>0</v>
      </c>
      <c r="AD12" s="449">
        <v>0</v>
      </c>
      <c r="AE12" s="451">
        <v>0</v>
      </c>
      <c r="AF12" s="449">
        <v>0</v>
      </c>
      <c r="AG12" s="451">
        <v>0</v>
      </c>
      <c r="AH12" s="449">
        <v>0</v>
      </c>
      <c r="AI12" s="451">
        <v>0</v>
      </c>
      <c r="AJ12" s="449">
        <v>0</v>
      </c>
      <c r="AK12" s="451">
        <v>0</v>
      </c>
      <c r="AL12" s="449">
        <v>0</v>
      </c>
      <c r="AM12" s="451">
        <v>0</v>
      </c>
      <c r="AN12" s="449">
        <v>0</v>
      </c>
      <c r="AO12" s="451">
        <v>0</v>
      </c>
      <c r="AP12" s="449">
        <v>0</v>
      </c>
    </row>
    <row r="13" spans="1:42" ht="15">
      <c r="A13" s="420" t="s">
        <v>38</v>
      </c>
      <c r="B13" s="420" t="s">
        <v>39</v>
      </c>
      <c r="C13" s="450">
        <v>4050489.6</v>
      </c>
      <c r="D13" s="449">
        <v>3.9</v>
      </c>
      <c r="E13" s="450">
        <v>4052444.4</v>
      </c>
      <c r="F13" s="449">
        <v>3.9</v>
      </c>
      <c r="G13" s="450">
        <v>4054400</v>
      </c>
      <c r="H13" s="449">
        <v>3.93</v>
      </c>
      <c r="I13" s="450">
        <v>4056356.4</v>
      </c>
      <c r="J13" s="449">
        <v>3.93</v>
      </c>
      <c r="K13" s="450">
        <v>4058313.6</v>
      </c>
      <c r="L13" s="449">
        <v>3.93</v>
      </c>
      <c r="M13" s="450">
        <v>4064191.6</v>
      </c>
      <c r="N13" s="449">
        <v>3.93</v>
      </c>
      <c r="O13" s="450">
        <v>4066152.8</v>
      </c>
      <c r="P13" s="449">
        <v>3.94</v>
      </c>
      <c r="Q13" s="450">
        <v>4068115.2</v>
      </c>
      <c r="R13" s="449">
        <v>3.94</v>
      </c>
      <c r="S13" s="450">
        <v>4070078</v>
      </c>
      <c r="T13" s="449">
        <v>3.95</v>
      </c>
      <c r="U13" s="450">
        <v>4072042.4</v>
      </c>
      <c r="V13" s="449">
        <v>3.95</v>
      </c>
      <c r="W13" s="450">
        <v>4077940</v>
      </c>
      <c r="X13" s="449">
        <v>3.94</v>
      </c>
      <c r="Y13" s="450">
        <v>4079908</v>
      </c>
      <c r="Z13" s="449">
        <v>3.95</v>
      </c>
      <c r="AA13" s="450">
        <v>4081876.8</v>
      </c>
      <c r="AB13" s="449">
        <v>3.96</v>
      </c>
      <c r="AC13" s="450">
        <v>4083846.4</v>
      </c>
      <c r="AD13" s="449">
        <v>3.95</v>
      </c>
      <c r="AE13" s="450">
        <v>4085817.2</v>
      </c>
      <c r="AF13" s="449">
        <v>3.95</v>
      </c>
      <c r="AG13" s="450">
        <v>4091734.8</v>
      </c>
      <c r="AH13" s="449">
        <v>3.96</v>
      </c>
      <c r="AI13" s="450">
        <v>4093709.2</v>
      </c>
      <c r="AJ13" s="449">
        <v>3.95</v>
      </c>
      <c r="AK13" s="450">
        <v>4095684.8</v>
      </c>
      <c r="AL13" s="449">
        <v>3.96</v>
      </c>
      <c r="AM13" s="450">
        <v>4097661.2</v>
      </c>
      <c r="AN13" s="449">
        <v>3.97</v>
      </c>
      <c r="AO13" s="450">
        <v>4099638.4</v>
      </c>
      <c r="AP13" s="449">
        <v>3.9699999999999998</v>
      </c>
    </row>
    <row r="14" spans="1:42" thickBot="1">
      <c r="A14" s="421" t="s">
        <v>98</v>
      </c>
      <c r="B14" s="421" t="s">
        <v>99</v>
      </c>
      <c r="C14" s="453">
        <v>3124419</v>
      </c>
      <c r="D14" s="448">
        <v>3.01</v>
      </c>
      <c r="E14" s="453">
        <v>3126090</v>
      </c>
      <c r="F14" s="448">
        <v>3.01</v>
      </c>
      <c r="G14" s="453">
        <v>3127762.2</v>
      </c>
      <c r="H14" s="448">
        <v>3.03</v>
      </c>
      <c r="I14" s="453">
        <v>3129435</v>
      </c>
      <c r="J14" s="448">
        <v>3.03</v>
      </c>
      <c r="K14" s="453">
        <v>3131109</v>
      </c>
      <c r="L14" s="448">
        <v>3.03</v>
      </c>
      <c r="M14" s="453">
        <v>3136135.8</v>
      </c>
      <c r="N14" s="448">
        <v>3.03</v>
      </c>
      <c r="O14" s="453">
        <v>3137813.1</v>
      </c>
      <c r="P14" s="448">
        <v>3.04</v>
      </c>
      <c r="Q14" s="453">
        <v>3139491.3</v>
      </c>
      <c r="R14" s="448">
        <v>3.04</v>
      </c>
      <c r="S14" s="453">
        <v>3141170.7</v>
      </c>
      <c r="T14" s="448">
        <v>3.05</v>
      </c>
      <c r="U14" s="453">
        <v>3142850.7</v>
      </c>
      <c r="V14" s="448">
        <v>3.04</v>
      </c>
      <c r="W14" s="453">
        <v>3147896.4</v>
      </c>
      <c r="X14" s="448">
        <v>3.04</v>
      </c>
      <c r="Y14" s="453">
        <v>3000000</v>
      </c>
      <c r="Z14" s="448">
        <v>2.9</v>
      </c>
      <c r="AA14" s="453">
        <v>3001329.3</v>
      </c>
      <c r="AB14" s="448">
        <v>2.91</v>
      </c>
      <c r="AC14" s="453">
        <v>3002659.5</v>
      </c>
      <c r="AD14" s="448">
        <v>2.9</v>
      </c>
      <c r="AE14" s="453">
        <v>3003990</v>
      </c>
      <c r="AF14" s="448">
        <v>2.9</v>
      </c>
      <c r="AG14" s="453">
        <v>3007985.4</v>
      </c>
      <c r="AH14" s="448">
        <v>2.91</v>
      </c>
      <c r="AI14" s="453">
        <v>3009318.3</v>
      </c>
      <c r="AJ14" s="448">
        <v>2.91</v>
      </c>
      <c r="AK14" s="453">
        <v>3010651.8</v>
      </c>
      <c r="AL14" s="448">
        <v>2.91</v>
      </c>
      <c r="AM14" s="453">
        <v>3011985.9</v>
      </c>
      <c r="AN14" s="448">
        <v>2.92</v>
      </c>
      <c r="AO14" s="453">
        <v>3013320.6</v>
      </c>
      <c r="AP14" s="448">
        <v>2.91</v>
      </c>
    </row>
    <row r="15" spans="1:42" ht="16.5" thickBot="1">
      <c r="A15" s="1022" t="s">
        <v>114</v>
      </c>
      <c r="B15" s="1047"/>
      <c r="C15" s="427">
        <f t="shared" ref="C15:AP15" si="1">SUM(C10:C14)</f>
        <v>13465134.129999999</v>
      </c>
      <c r="D15" s="427">
        <f t="shared" si="1"/>
        <v>12.97</v>
      </c>
      <c r="E15" s="427">
        <f t="shared" si="1"/>
        <v>13471221.140000001</v>
      </c>
      <c r="F15" s="427">
        <f t="shared" si="1"/>
        <v>12.99</v>
      </c>
      <c r="G15" s="427">
        <f t="shared" si="1"/>
        <v>13477311.390000001</v>
      </c>
      <c r="H15" s="427">
        <f t="shared" si="1"/>
        <v>13.069999999999999</v>
      </c>
      <c r="I15" s="427">
        <f t="shared" si="1"/>
        <v>13483403.890000001</v>
      </c>
      <c r="J15" s="427">
        <f t="shared" si="1"/>
        <v>13.059999999999999</v>
      </c>
      <c r="K15" s="427">
        <f t="shared" si="1"/>
        <v>13489499.25</v>
      </c>
      <c r="L15" s="427">
        <f t="shared" si="1"/>
        <v>13.059999999999999</v>
      </c>
      <c r="M15" s="427">
        <f t="shared" si="1"/>
        <v>13507802.300000001</v>
      </c>
      <c r="N15" s="427">
        <f t="shared" si="1"/>
        <v>13.059999999999999</v>
      </c>
      <c r="O15" s="427">
        <f t="shared" si="1"/>
        <v>13513909.01</v>
      </c>
      <c r="P15" s="427">
        <f t="shared" si="1"/>
        <v>13.09</v>
      </c>
      <c r="Q15" s="427">
        <f t="shared" si="1"/>
        <v>13520018.670000002</v>
      </c>
      <c r="R15" s="427">
        <f t="shared" si="1"/>
        <v>13.079999999999998</v>
      </c>
      <c r="S15" s="427">
        <f t="shared" si="1"/>
        <v>13526131.169999998</v>
      </c>
      <c r="T15" s="427">
        <f t="shared" si="1"/>
        <v>13.120000000000001</v>
      </c>
      <c r="U15" s="427">
        <f t="shared" si="1"/>
        <v>13532246.73</v>
      </c>
      <c r="V15" s="427">
        <f t="shared" si="1"/>
        <v>13.11</v>
      </c>
      <c r="W15" s="427">
        <f t="shared" si="1"/>
        <v>13550608.890000001</v>
      </c>
      <c r="X15" s="427">
        <f t="shared" si="1"/>
        <v>13.100000000000001</v>
      </c>
      <c r="Y15" s="427">
        <f t="shared" si="1"/>
        <v>13407155.689999999</v>
      </c>
      <c r="Z15" s="427">
        <f t="shared" si="1"/>
        <v>12.97</v>
      </c>
      <c r="AA15" s="427">
        <f t="shared" si="1"/>
        <v>13412929.859999999</v>
      </c>
      <c r="AB15" s="427">
        <f t="shared" si="1"/>
        <v>13</v>
      </c>
      <c r="AC15" s="427">
        <f t="shared" si="1"/>
        <v>13418706.34</v>
      </c>
      <c r="AD15" s="427">
        <f t="shared" si="1"/>
        <v>12.97</v>
      </c>
      <c r="AE15" s="427">
        <f t="shared" si="1"/>
        <v>13424486.030000001</v>
      </c>
      <c r="AF15" s="427">
        <f t="shared" si="1"/>
        <v>12.97</v>
      </c>
      <c r="AG15" s="427">
        <f t="shared" si="1"/>
        <v>13441838.880000001</v>
      </c>
      <c r="AH15" s="427">
        <f t="shared" si="1"/>
        <v>12.99</v>
      </c>
      <c r="AI15" s="427">
        <f t="shared" si="1"/>
        <v>13447627.77</v>
      </c>
      <c r="AJ15" s="427">
        <f t="shared" si="1"/>
        <v>12.98</v>
      </c>
      <c r="AK15" s="427">
        <f t="shared" si="1"/>
        <v>13453419.93</v>
      </c>
      <c r="AL15" s="427">
        <f t="shared" si="1"/>
        <v>13</v>
      </c>
      <c r="AM15" s="427">
        <f t="shared" si="1"/>
        <v>13459214.35</v>
      </c>
      <c r="AN15" s="427">
        <f t="shared" si="1"/>
        <v>13.040000000000001</v>
      </c>
      <c r="AO15" s="427">
        <f t="shared" si="1"/>
        <v>13465011.4</v>
      </c>
      <c r="AP15" s="427">
        <f t="shared" si="1"/>
        <v>13.02</v>
      </c>
    </row>
    <row r="16" spans="1:42" ht="31.5">
      <c r="A16" s="77" t="s">
        <v>41</v>
      </c>
      <c r="B16" s="78" t="s">
        <v>42</v>
      </c>
      <c r="C16" s="407"/>
      <c r="D16" s="428"/>
      <c r="E16" s="407"/>
      <c r="F16" s="428"/>
      <c r="G16" s="407"/>
      <c r="H16" s="428"/>
      <c r="I16" s="407"/>
      <c r="J16" s="428"/>
      <c r="K16" s="407"/>
      <c r="L16" s="428"/>
      <c r="M16" s="407"/>
      <c r="N16" s="428"/>
      <c r="O16" s="407"/>
      <c r="P16" s="428"/>
      <c r="Q16" s="407"/>
      <c r="R16" s="428"/>
      <c r="S16" s="407"/>
      <c r="T16" s="428"/>
      <c r="U16" s="407"/>
      <c r="V16" s="428"/>
      <c r="W16" s="407"/>
      <c r="X16" s="428"/>
      <c r="Y16" s="407"/>
      <c r="Z16" s="428"/>
      <c r="AA16" s="407"/>
      <c r="AB16" s="428"/>
      <c r="AC16" s="407"/>
      <c r="AD16" s="428"/>
      <c r="AE16" s="407"/>
      <c r="AF16" s="428"/>
      <c r="AG16" s="407"/>
      <c r="AH16" s="428"/>
      <c r="AI16" s="407"/>
      <c r="AJ16" s="428"/>
      <c r="AK16" s="407"/>
      <c r="AL16" s="428"/>
      <c r="AM16" s="407"/>
      <c r="AN16" s="428"/>
      <c r="AO16" s="407"/>
      <c r="AP16" s="428"/>
    </row>
    <row r="17" spans="1:42" ht="16.5" thickBot="1">
      <c r="A17" s="460">
        <v>22048622</v>
      </c>
      <c r="B17" s="461" t="s">
        <v>121</v>
      </c>
      <c r="C17" s="462">
        <v>1706400</v>
      </c>
      <c r="D17" s="428">
        <v>1.64</v>
      </c>
      <c r="E17" s="462">
        <v>1706400</v>
      </c>
      <c r="F17" s="428">
        <v>1.64</v>
      </c>
      <c r="G17" s="462">
        <v>1706400</v>
      </c>
      <c r="H17" s="428">
        <v>1.66</v>
      </c>
      <c r="I17" s="462">
        <v>1706400</v>
      </c>
      <c r="J17" s="428">
        <v>1.65</v>
      </c>
      <c r="K17" s="462">
        <v>1706400</v>
      </c>
      <c r="L17" s="428">
        <v>1.65</v>
      </c>
      <c r="M17" s="462">
        <v>1706400</v>
      </c>
      <c r="N17" s="428">
        <v>1.65</v>
      </c>
      <c r="O17" s="462">
        <v>1706400</v>
      </c>
      <c r="P17" s="428">
        <v>1.65</v>
      </c>
      <c r="Q17" s="462">
        <v>1706400</v>
      </c>
      <c r="R17" s="428">
        <v>1.65</v>
      </c>
      <c r="S17" s="462">
        <v>1706400</v>
      </c>
      <c r="T17" s="428">
        <v>1.65</v>
      </c>
      <c r="U17" s="462">
        <v>1706400</v>
      </c>
      <c r="V17" s="428">
        <v>1.65</v>
      </c>
      <c r="W17" s="462">
        <v>1706400</v>
      </c>
      <c r="X17" s="428">
        <v>1.65</v>
      </c>
      <c r="Y17" s="462">
        <v>1706400</v>
      </c>
      <c r="Z17" s="428">
        <v>1.65</v>
      </c>
      <c r="AA17" s="462">
        <v>1706400</v>
      </c>
      <c r="AB17" s="428">
        <v>1.65</v>
      </c>
      <c r="AC17" s="462">
        <v>1706400</v>
      </c>
      <c r="AD17" s="428">
        <v>1.65</v>
      </c>
      <c r="AE17" s="462">
        <v>1706400</v>
      </c>
      <c r="AF17" s="428">
        <v>1.65</v>
      </c>
      <c r="AG17" s="462">
        <v>1706400</v>
      </c>
      <c r="AH17" s="428">
        <v>1.65</v>
      </c>
      <c r="AI17" s="462">
        <v>1706400</v>
      </c>
      <c r="AJ17" s="428">
        <v>1.65</v>
      </c>
      <c r="AK17" s="462">
        <v>1706400</v>
      </c>
      <c r="AL17" s="428">
        <v>1.65</v>
      </c>
      <c r="AM17" s="462">
        <v>1706400</v>
      </c>
      <c r="AN17" s="428">
        <v>1.65</v>
      </c>
      <c r="AO17" s="462">
        <v>1706400</v>
      </c>
      <c r="AP17" s="428">
        <v>1.65</v>
      </c>
    </row>
    <row r="18" spans="1:42" ht="16.5" thickBot="1">
      <c r="A18" s="1039" t="s">
        <v>112</v>
      </c>
      <c r="B18" s="1039"/>
      <c r="C18" s="408">
        <f>SUM(C16:C17)</f>
        <v>1706400</v>
      </c>
      <c r="D18" s="408">
        <f>D17</f>
        <v>1.64</v>
      </c>
      <c r="E18" s="408">
        <f>SUM(E16:E17)</f>
        <v>1706400</v>
      </c>
      <c r="F18" s="408">
        <f>F17</f>
        <v>1.64</v>
      </c>
      <c r="G18" s="408">
        <f>SUM(G16:G17)</f>
        <v>1706400</v>
      </c>
      <c r="H18" s="408">
        <f>H17</f>
        <v>1.66</v>
      </c>
      <c r="I18" s="408">
        <f>SUM(I16:I17)</f>
        <v>1706400</v>
      </c>
      <c r="J18" s="408">
        <f>J17</f>
        <v>1.65</v>
      </c>
      <c r="K18" s="408">
        <f>SUM(K16:K17)</f>
        <v>1706400</v>
      </c>
      <c r="L18" s="408">
        <f>L17</f>
        <v>1.65</v>
      </c>
      <c r="M18" s="408">
        <f>SUM(M16:M17)</f>
        <v>1706400</v>
      </c>
      <c r="N18" s="408">
        <f>N17</f>
        <v>1.65</v>
      </c>
      <c r="O18" s="408">
        <f>SUM(O16:O17)</f>
        <v>1706400</v>
      </c>
      <c r="P18" s="408">
        <f>P17</f>
        <v>1.65</v>
      </c>
      <c r="Q18" s="408">
        <f>SUM(Q16:Q17)</f>
        <v>1706400</v>
      </c>
      <c r="R18" s="408">
        <f>R17</f>
        <v>1.65</v>
      </c>
      <c r="S18" s="408">
        <f>SUM(S16:S17)</f>
        <v>1706400</v>
      </c>
      <c r="T18" s="408">
        <f>T17</f>
        <v>1.65</v>
      </c>
      <c r="U18" s="408">
        <f>SUM(U16:U17)</f>
        <v>1706400</v>
      </c>
      <c r="V18" s="408">
        <f>V17</f>
        <v>1.65</v>
      </c>
      <c r="W18" s="408">
        <f>SUM(W16:W17)</f>
        <v>1706400</v>
      </c>
      <c r="X18" s="408">
        <f>X17</f>
        <v>1.65</v>
      </c>
      <c r="Y18" s="408">
        <f>SUM(Y16:Y17)</f>
        <v>1706400</v>
      </c>
      <c r="Z18" s="408">
        <f>Z17</f>
        <v>1.65</v>
      </c>
      <c r="AA18" s="408">
        <f>SUM(AA16:AA17)</f>
        <v>1706400</v>
      </c>
      <c r="AB18" s="408">
        <f>AB17</f>
        <v>1.65</v>
      </c>
      <c r="AC18" s="408">
        <f>SUM(AC16:AC17)</f>
        <v>1706400</v>
      </c>
      <c r="AD18" s="408">
        <f>AD17</f>
        <v>1.65</v>
      </c>
      <c r="AE18" s="408">
        <f>SUM(AE16:AE17)</f>
        <v>1706400</v>
      </c>
      <c r="AF18" s="408">
        <f>AF17</f>
        <v>1.65</v>
      </c>
      <c r="AG18" s="408">
        <f>SUM(AG16:AG17)</f>
        <v>1706400</v>
      </c>
      <c r="AH18" s="408">
        <f>AH17</f>
        <v>1.65</v>
      </c>
      <c r="AI18" s="408">
        <f>SUM(AI16:AI17)</f>
        <v>1706400</v>
      </c>
      <c r="AJ18" s="408">
        <f>AJ17</f>
        <v>1.65</v>
      </c>
      <c r="AK18" s="408">
        <f>SUM(AK16:AK17)</f>
        <v>1706400</v>
      </c>
      <c r="AL18" s="408">
        <f>AL17</f>
        <v>1.65</v>
      </c>
      <c r="AM18" s="408">
        <f>SUM(AM16:AM17)</f>
        <v>1706400</v>
      </c>
      <c r="AN18" s="408">
        <f>AN17</f>
        <v>1.65</v>
      </c>
      <c r="AO18" s="408">
        <f>SUM(AO16:AO17)</f>
        <v>1706400</v>
      </c>
      <c r="AP18" s="408">
        <f>AP17</f>
        <v>1.65</v>
      </c>
    </row>
    <row r="19" spans="1:42">
      <c r="A19" s="447" t="s">
        <v>106</v>
      </c>
      <c r="B19" s="446"/>
      <c r="C19" s="429">
        <v>550495</v>
      </c>
      <c r="D19" s="454">
        <v>0.53</v>
      </c>
      <c r="E19" s="429">
        <v>550495</v>
      </c>
      <c r="F19" s="454">
        <v>0.53</v>
      </c>
      <c r="G19" s="429">
        <v>550495</v>
      </c>
      <c r="H19" s="454">
        <v>0.53</v>
      </c>
      <c r="I19" s="429">
        <v>550495</v>
      </c>
      <c r="J19" s="454">
        <v>0.53</v>
      </c>
      <c r="K19" s="429">
        <v>550495</v>
      </c>
      <c r="L19" s="454">
        <v>0.53</v>
      </c>
      <c r="M19" s="429">
        <v>550495</v>
      </c>
      <c r="N19" s="454">
        <v>0.53</v>
      </c>
      <c r="O19" s="429">
        <v>550495</v>
      </c>
      <c r="P19" s="454">
        <v>0.53</v>
      </c>
      <c r="Q19" s="429">
        <v>550495</v>
      </c>
      <c r="R19" s="454">
        <v>0.53</v>
      </c>
      <c r="S19" s="429">
        <v>550495</v>
      </c>
      <c r="T19" s="454">
        <v>0.53</v>
      </c>
      <c r="U19" s="429">
        <v>550495</v>
      </c>
      <c r="V19" s="454">
        <v>0.53</v>
      </c>
      <c r="W19" s="429">
        <v>550495</v>
      </c>
      <c r="X19" s="454">
        <v>0.53</v>
      </c>
      <c r="Y19" s="429">
        <v>550495</v>
      </c>
      <c r="Z19" s="454">
        <v>0.53</v>
      </c>
      <c r="AA19" s="429">
        <v>550495</v>
      </c>
      <c r="AB19" s="454">
        <v>0.54</v>
      </c>
      <c r="AC19" s="429">
        <v>550495</v>
      </c>
      <c r="AD19" s="454">
        <v>0.53</v>
      </c>
      <c r="AE19" s="429">
        <v>550495</v>
      </c>
      <c r="AF19" s="454">
        <v>0.53</v>
      </c>
      <c r="AG19" s="429">
        <v>550495</v>
      </c>
      <c r="AH19" s="454">
        <v>0.53</v>
      </c>
      <c r="AI19" s="429">
        <v>550495</v>
      </c>
      <c r="AJ19" s="454">
        <v>0.53</v>
      </c>
      <c r="AK19" s="429">
        <v>550495</v>
      </c>
      <c r="AL19" s="454">
        <v>0.53</v>
      </c>
      <c r="AM19" s="429">
        <v>550495</v>
      </c>
      <c r="AN19" s="454">
        <v>0.53</v>
      </c>
      <c r="AO19" s="429">
        <v>550495</v>
      </c>
      <c r="AP19" s="454">
        <v>0.53</v>
      </c>
    </row>
    <row r="20" spans="1:42">
      <c r="A20" s="447" t="s">
        <v>107</v>
      </c>
      <c r="B20" s="446"/>
      <c r="C20" s="430">
        <v>1188246.17</v>
      </c>
      <c r="D20" s="455">
        <v>1.1499999999999999</v>
      </c>
      <c r="E20" s="430">
        <v>1188246.17</v>
      </c>
      <c r="F20" s="455">
        <v>1.1499999999999999</v>
      </c>
      <c r="G20" s="430">
        <v>1188246.17</v>
      </c>
      <c r="H20" s="455">
        <v>1.1499999999999999</v>
      </c>
      <c r="I20" s="430">
        <v>1188246.17</v>
      </c>
      <c r="J20" s="455">
        <v>1.1499999999999999</v>
      </c>
      <c r="K20" s="430">
        <v>1188246.17</v>
      </c>
      <c r="L20" s="455">
        <v>1.1499999999999999</v>
      </c>
      <c r="M20" s="430">
        <v>1188246.17</v>
      </c>
      <c r="N20" s="455">
        <v>1.1499999999999999</v>
      </c>
      <c r="O20" s="430">
        <v>1188246.17</v>
      </c>
      <c r="P20" s="455">
        <v>1.1499999999999999</v>
      </c>
      <c r="Q20" s="430">
        <v>1188246.17</v>
      </c>
      <c r="R20" s="455">
        <v>1.1499999999999999</v>
      </c>
      <c r="S20" s="430">
        <v>1188246.17</v>
      </c>
      <c r="T20" s="455">
        <v>1.1499999999999999</v>
      </c>
      <c r="U20" s="430">
        <v>1188246.17</v>
      </c>
      <c r="V20" s="455">
        <v>1.1499999999999999</v>
      </c>
      <c r="W20" s="430">
        <v>1188246.17</v>
      </c>
      <c r="X20" s="455">
        <v>1.1499999999999999</v>
      </c>
      <c r="Y20" s="430">
        <v>1188246.17</v>
      </c>
      <c r="Z20" s="455">
        <v>1.1499999999999999</v>
      </c>
      <c r="AA20" s="430">
        <v>1188246.17</v>
      </c>
      <c r="AB20" s="455">
        <v>1.1499999999999999</v>
      </c>
      <c r="AC20" s="430">
        <v>1188246.17</v>
      </c>
      <c r="AD20" s="455">
        <v>1.1499999999999999</v>
      </c>
      <c r="AE20" s="430">
        <v>1188246.17</v>
      </c>
      <c r="AF20" s="455">
        <v>1.1499999999999999</v>
      </c>
      <c r="AG20" s="430">
        <v>1188246.17</v>
      </c>
      <c r="AH20" s="455">
        <v>1.1499999999999999</v>
      </c>
      <c r="AI20" s="430">
        <v>1188246.17</v>
      </c>
      <c r="AJ20" s="455">
        <v>1.1499999999999999</v>
      </c>
      <c r="AK20" s="430">
        <v>1188246.17</v>
      </c>
      <c r="AL20" s="455">
        <v>1.1499999999999999</v>
      </c>
      <c r="AM20" s="430">
        <v>1188246.17</v>
      </c>
      <c r="AN20" s="455">
        <v>1.1499999999999999</v>
      </c>
      <c r="AO20" s="430">
        <v>1188246.17</v>
      </c>
      <c r="AP20" s="455">
        <v>1.1499999999999999</v>
      </c>
    </row>
    <row r="21" spans="1:42" ht="16.5" thickBot="1">
      <c r="A21" s="447" t="s">
        <v>108</v>
      </c>
      <c r="B21" s="446"/>
      <c r="C21" s="431">
        <v>5267242.53</v>
      </c>
      <c r="D21" s="454">
        <v>5.07</v>
      </c>
      <c r="E21" s="431">
        <v>5267242.53</v>
      </c>
      <c r="F21" s="454">
        <v>5.0599999999999996</v>
      </c>
      <c r="G21" s="431">
        <v>5267242.53</v>
      </c>
      <c r="H21" s="454">
        <v>5.1100000000000003</v>
      </c>
      <c r="I21" s="431">
        <v>5267242.53</v>
      </c>
      <c r="J21" s="454">
        <v>5.0999999999999996</v>
      </c>
      <c r="K21" s="431">
        <v>5267242.53</v>
      </c>
      <c r="L21" s="454">
        <v>5.0999999999999996</v>
      </c>
      <c r="M21" s="431">
        <v>5267242.53</v>
      </c>
      <c r="N21" s="454">
        <v>5.09</v>
      </c>
      <c r="O21" s="431">
        <v>5267242.53</v>
      </c>
      <c r="P21" s="454">
        <v>5.0999999999999996</v>
      </c>
      <c r="Q21" s="431">
        <v>5267242.53</v>
      </c>
      <c r="R21" s="454">
        <v>5.0999999999999996</v>
      </c>
      <c r="S21" s="431">
        <v>5267242.53</v>
      </c>
      <c r="T21" s="454">
        <v>5.1100000000000003</v>
      </c>
      <c r="U21" s="431">
        <v>5267242.53</v>
      </c>
      <c r="V21" s="454">
        <v>5.0999999999999996</v>
      </c>
      <c r="W21" s="431">
        <v>5267242.53</v>
      </c>
      <c r="X21" s="454">
        <v>5.09</v>
      </c>
      <c r="Y21" s="431">
        <v>5267242.53</v>
      </c>
      <c r="Z21" s="454">
        <v>5.09</v>
      </c>
      <c r="AA21" s="431">
        <v>5267242.53</v>
      </c>
      <c r="AB21" s="454">
        <v>5.0999999999999996</v>
      </c>
      <c r="AC21" s="431">
        <v>5267242.53</v>
      </c>
      <c r="AD21" s="454">
        <v>5.09</v>
      </c>
      <c r="AE21" s="431">
        <v>5267242.53</v>
      </c>
      <c r="AF21" s="454">
        <v>5.09</v>
      </c>
      <c r="AG21" s="431">
        <v>5267242.53</v>
      </c>
      <c r="AH21" s="454">
        <v>5.09</v>
      </c>
      <c r="AI21" s="431">
        <v>5267242.53</v>
      </c>
      <c r="AJ21" s="454">
        <v>5.08</v>
      </c>
      <c r="AK21" s="431">
        <v>5267242.53</v>
      </c>
      <c r="AL21" s="454">
        <v>5.09</v>
      </c>
      <c r="AM21" s="431">
        <v>5267242.53</v>
      </c>
      <c r="AN21" s="454">
        <v>5.0999999999999996</v>
      </c>
      <c r="AO21" s="431">
        <v>5267242.53</v>
      </c>
      <c r="AP21" s="454">
        <v>5.0999999999999996</v>
      </c>
    </row>
    <row r="22" spans="1:42" ht="16.5" thickBot="1">
      <c r="A22" s="1026" t="s">
        <v>111</v>
      </c>
      <c r="B22" s="1027"/>
      <c r="C22" s="408">
        <f t="shared" ref="C22:AP22" si="2">SUM(C19:C21)</f>
        <v>7005983.7000000002</v>
      </c>
      <c r="D22" s="408">
        <f t="shared" si="2"/>
        <v>6.75</v>
      </c>
      <c r="E22" s="408">
        <f t="shared" si="2"/>
        <v>7005983.7000000002</v>
      </c>
      <c r="F22" s="408">
        <f t="shared" si="2"/>
        <v>6.7399999999999993</v>
      </c>
      <c r="G22" s="408">
        <f t="shared" si="2"/>
        <v>7005983.7000000002</v>
      </c>
      <c r="H22" s="408">
        <f t="shared" si="2"/>
        <v>6.79</v>
      </c>
      <c r="I22" s="408">
        <f t="shared" si="2"/>
        <v>7005983.7000000002</v>
      </c>
      <c r="J22" s="408">
        <f t="shared" si="2"/>
        <v>6.7799999999999994</v>
      </c>
      <c r="K22" s="408">
        <f t="shared" si="2"/>
        <v>7005983.7000000002</v>
      </c>
      <c r="L22" s="408">
        <f t="shared" si="2"/>
        <v>6.7799999999999994</v>
      </c>
      <c r="M22" s="408">
        <f t="shared" si="2"/>
        <v>7005983.7000000002</v>
      </c>
      <c r="N22" s="408">
        <f t="shared" si="2"/>
        <v>6.77</v>
      </c>
      <c r="O22" s="408">
        <f t="shared" si="2"/>
        <v>7005983.7000000002</v>
      </c>
      <c r="P22" s="408">
        <f t="shared" si="2"/>
        <v>6.7799999999999994</v>
      </c>
      <c r="Q22" s="408">
        <f t="shared" si="2"/>
        <v>7005983.7000000002</v>
      </c>
      <c r="R22" s="408">
        <f t="shared" si="2"/>
        <v>6.7799999999999994</v>
      </c>
      <c r="S22" s="408">
        <f t="shared" si="2"/>
        <v>7005983.7000000002</v>
      </c>
      <c r="T22" s="408">
        <f t="shared" si="2"/>
        <v>6.79</v>
      </c>
      <c r="U22" s="408">
        <f t="shared" si="2"/>
        <v>7005983.7000000002</v>
      </c>
      <c r="V22" s="408">
        <f t="shared" si="2"/>
        <v>6.7799999999999994</v>
      </c>
      <c r="W22" s="408">
        <f t="shared" si="2"/>
        <v>7005983.7000000002</v>
      </c>
      <c r="X22" s="408">
        <f t="shared" si="2"/>
        <v>6.77</v>
      </c>
      <c r="Y22" s="408">
        <f t="shared" si="2"/>
        <v>7005983.7000000002</v>
      </c>
      <c r="Z22" s="408">
        <f t="shared" si="2"/>
        <v>6.77</v>
      </c>
      <c r="AA22" s="408">
        <f t="shared" si="2"/>
        <v>7005983.7000000002</v>
      </c>
      <c r="AB22" s="408">
        <f t="shared" si="2"/>
        <v>6.7899999999999991</v>
      </c>
      <c r="AC22" s="408">
        <f t="shared" si="2"/>
        <v>7005983.7000000002</v>
      </c>
      <c r="AD22" s="408">
        <f t="shared" si="2"/>
        <v>6.77</v>
      </c>
      <c r="AE22" s="408">
        <f t="shared" si="2"/>
        <v>7005983.7000000002</v>
      </c>
      <c r="AF22" s="408">
        <f t="shared" si="2"/>
        <v>6.77</v>
      </c>
      <c r="AG22" s="408">
        <f t="shared" si="2"/>
        <v>7005983.7000000002</v>
      </c>
      <c r="AH22" s="408">
        <f t="shared" si="2"/>
        <v>6.77</v>
      </c>
      <c r="AI22" s="408">
        <f t="shared" si="2"/>
        <v>7005983.7000000002</v>
      </c>
      <c r="AJ22" s="408">
        <f t="shared" si="2"/>
        <v>6.76</v>
      </c>
      <c r="AK22" s="408">
        <f t="shared" si="2"/>
        <v>7005983.7000000002</v>
      </c>
      <c r="AL22" s="408">
        <f t="shared" si="2"/>
        <v>6.77</v>
      </c>
      <c r="AM22" s="408">
        <f t="shared" si="2"/>
        <v>7005983.7000000002</v>
      </c>
      <c r="AN22" s="408">
        <f t="shared" si="2"/>
        <v>6.7799999999999994</v>
      </c>
      <c r="AO22" s="408">
        <f t="shared" si="2"/>
        <v>7005983.7000000002</v>
      </c>
      <c r="AP22" s="408">
        <f t="shared" si="2"/>
        <v>6.7799999999999994</v>
      </c>
    </row>
    <row r="23" spans="1:42">
      <c r="A23" s="96" t="s">
        <v>45</v>
      </c>
      <c r="B23" s="478" t="s">
        <v>58</v>
      </c>
      <c r="C23" s="464">
        <v>0</v>
      </c>
      <c r="D23" s="463"/>
      <c r="E23" s="464">
        <v>0</v>
      </c>
      <c r="F23" s="463"/>
      <c r="G23" s="464">
        <v>0</v>
      </c>
      <c r="H23" s="463"/>
      <c r="I23" s="464">
        <v>0</v>
      </c>
      <c r="J23" s="463"/>
      <c r="K23" s="464">
        <v>0</v>
      </c>
      <c r="L23" s="463"/>
      <c r="M23" s="464">
        <v>0</v>
      </c>
      <c r="N23" s="463"/>
      <c r="O23" s="464">
        <v>0</v>
      </c>
      <c r="P23" s="463"/>
      <c r="Q23" s="464">
        <v>0</v>
      </c>
      <c r="R23" s="463"/>
      <c r="S23" s="464">
        <v>0</v>
      </c>
      <c r="T23" s="463"/>
      <c r="U23" s="464">
        <v>0</v>
      </c>
      <c r="V23" s="463"/>
      <c r="W23" s="464">
        <v>0</v>
      </c>
      <c r="X23" s="463"/>
      <c r="Y23" s="464">
        <v>0</v>
      </c>
      <c r="Z23" s="463"/>
      <c r="AA23" s="464">
        <v>0</v>
      </c>
      <c r="AB23" s="463"/>
      <c r="AC23" s="464">
        <v>0</v>
      </c>
      <c r="AD23" s="463"/>
      <c r="AE23" s="464">
        <v>0</v>
      </c>
      <c r="AF23" s="463"/>
      <c r="AG23" s="464">
        <v>0</v>
      </c>
      <c r="AH23" s="463"/>
      <c r="AI23" s="464">
        <v>0</v>
      </c>
      <c r="AJ23" s="463"/>
      <c r="AK23" s="464">
        <v>0</v>
      </c>
      <c r="AL23" s="463"/>
      <c r="AM23" s="464">
        <v>0</v>
      </c>
      <c r="AN23" s="463"/>
      <c r="AO23" s="464">
        <v>0</v>
      </c>
      <c r="AP23" s="463"/>
    </row>
    <row r="24" spans="1:42">
      <c r="A24" s="99" t="s">
        <v>45</v>
      </c>
      <c r="B24" s="478" t="s">
        <v>58</v>
      </c>
      <c r="C24" s="464">
        <v>108489.05</v>
      </c>
      <c r="D24" s="463">
        <v>0.1</v>
      </c>
      <c r="E24" s="464">
        <v>108489.05</v>
      </c>
      <c r="F24" s="463">
        <v>0.1</v>
      </c>
      <c r="G24" s="464">
        <v>489.05</v>
      </c>
      <c r="H24" s="463">
        <v>0</v>
      </c>
      <c r="I24" s="464">
        <v>31211.06</v>
      </c>
      <c r="J24" s="463">
        <v>0.03</v>
      </c>
      <c r="K24" s="464">
        <v>46025.07</v>
      </c>
      <c r="L24" s="463">
        <v>0.04</v>
      </c>
      <c r="M24" s="464">
        <v>111549.73</v>
      </c>
      <c r="N24" s="463">
        <v>0.11</v>
      </c>
      <c r="O24" s="464">
        <v>111549.73</v>
      </c>
      <c r="P24" s="463">
        <v>0.11</v>
      </c>
      <c r="Q24" s="464">
        <v>11549.73</v>
      </c>
      <c r="R24" s="463">
        <v>0.01</v>
      </c>
      <c r="S24" s="464">
        <v>11549.73</v>
      </c>
      <c r="T24" s="463">
        <v>0.01</v>
      </c>
      <c r="U24" s="464">
        <v>25747.19</v>
      </c>
      <c r="V24" s="463">
        <v>0.02</v>
      </c>
      <c r="W24" s="464">
        <v>25747.19</v>
      </c>
      <c r="X24" s="463">
        <v>0.02</v>
      </c>
      <c r="Y24" s="464">
        <v>747.19</v>
      </c>
      <c r="Z24" s="463">
        <v>0</v>
      </c>
      <c r="AA24" s="464">
        <v>126190.1</v>
      </c>
      <c r="AB24" s="463">
        <v>0.12</v>
      </c>
      <c r="AC24" s="464">
        <v>126190.1</v>
      </c>
      <c r="AD24" s="463">
        <v>0.12</v>
      </c>
      <c r="AE24" s="464">
        <v>770.1</v>
      </c>
      <c r="AF24" s="463">
        <v>0</v>
      </c>
      <c r="AG24" s="464">
        <v>770.1</v>
      </c>
      <c r="AH24" s="463">
        <v>0</v>
      </c>
      <c r="AI24" s="464">
        <v>770.1</v>
      </c>
      <c r="AJ24" s="464">
        <v>0</v>
      </c>
      <c r="AK24" s="464">
        <v>6693255.0999999996</v>
      </c>
      <c r="AL24" s="464">
        <v>6.47</v>
      </c>
      <c r="AM24" s="464">
        <v>381.02</v>
      </c>
      <c r="AN24" s="464">
        <v>0</v>
      </c>
      <c r="AO24" s="464">
        <v>381.02</v>
      </c>
      <c r="AP24" s="464">
        <v>0</v>
      </c>
    </row>
    <row r="25" spans="1:42">
      <c r="A25" s="99" t="s">
        <v>45</v>
      </c>
      <c r="B25" s="478" t="s">
        <v>58</v>
      </c>
      <c r="C25" s="464">
        <v>0</v>
      </c>
      <c r="D25" s="463">
        <v>0</v>
      </c>
      <c r="E25" s="464">
        <v>0</v>
      </c>
      <c r="F25" s="463">
        <v>0</v>
      </c>
      <c r="G25" s="464">
        <v>0</v>
      </c>
      <c r="H25" s="463">
        <v>0</v>
      </c>
      <c r="I25" s="464">
        <v>0</v>
      </c>
      <c r="J25" s="463">
        <v>0</v>
      </c>
      <c r="K25" s="464">
        <v>0</v>
      </c>
      <c r="L25" s="463">
        <v>0</v>
      </c>
      <c r="M25" s="464">
        <v>0</v>
      </c>
      <c r="N25" s="463">
        <v>0</v>
      </c>
      <c r="O25" s="464">
        <v>0</v>
      </c>
      <c r="P25" s="463">
        <v>0</v>
      </c>
      <c r="Q25" s="464">
        <v>0</v>
      </c>
      <c r="R25" s="463">
        <v>0</v>
      </c>
      <c r="S25" s="464">
        <v>0</v>
      </c>
      <c r="T25" s="463">
        <v>0</v>
      </c>
      <c r="U25" s="464">
        <v>0</v>
      </c>
      <c r="V25" s="463">
        <v>0</v>
      </c>
      <c r="W25" s="464">
        <v>0</v>
      </c>
      <c r="X25" s="463">
        <v>0</v>
      </c>
      <c r="Y25" s="464">
        <v>0</v>
      </c>
      <c r="Z25" s="463">
        <v>0</v>
      </c>
      <c r="AA25" s="464">
        <v>0</v>
      </c>
      <c r="AB25" s="463">
        <v>0</v>
      </c>
      <c r="AC25" s="464">
        <v>0</v>
      </c>
      <c r="AD25" s="463">
        <v>0</v>
      </c>
      <c r="AE25" s="464">
        <v>0</v>
      </c>
      <c r="AF25" s="463">
        <v>0</v>
      </c>
      <c r="AG25" s="464">
        <v>0</v>
      </c>
      <c r="AH25" s="463">
        <v>0</v>
      </c>
      <c r="AI25" s="464">
        <v>0</v>
      </c>
      <c r="AJ25" s="464">
        <v>0</v>
      </c>
      <c r="AK25" s="464">
        <v>0</v>
      </c>
      <c r="AL25" s="464">
        <v>0</v>
      </c>
      <c r="AM25" s="464">
        <v>0</v>
      </c>
      <c r="AN25" s="464">
        <v>0</v>
      </c>
      <c r="AO25" s="464">
        <v>0</v>
      </c>
      <c r="AP25" s="464">
        <v>0</v>
      </c>
    </row>
    <row r="26" spans="1:42" ht="16.5" thickBot="1">
      <c r="A26" s="101"/>
      <c r="B26" s="478" t="s">
        <v>58</v>
      </c>
      <c r="C26" s="464">
        <v>20652.580000000002</v>
      </c>
      <c r="D26" s="463">
        <v>0.02</v>
      </c>
      <c r="E26" s="464">
        <v>20652.580000000002</v>
      </c>
      <c r="F26" s="463">
        <v>0.02</v>
      </c>
      <c r="G26" s="464">
        <v>96783.17</v>
      </c>
      <c r="H26" s="463">
        <v>0.09</v>
      </c>
      <c r="I26" s="464">
        <v>55054.53</v>
      </c>
      <c r="J26" s="463">
        <v>0.05</v>
      </c>
      <c r="K26" s="464">
        <v>68457.53</v>
      </c>
      <c r="L26" s="463">
        <v>7.0000000000000007E-2</v>
      </c>
      <c r="M26" s="464">
        <v>68457.53</v>
      </c>
      <c r="N26" s="463">
        <v>7.0000000000000007E-2</v>
      </c>
      <c r="O26" s="464">
        <v>71155.53</v>
      </c>
      <c r="P26" s="463">
        <v>7.0000000000000007E-2</v>
      </c>
      <c r="Q26" s="482">
        <v>1498</v>
      </c>
      <c r="R26" s="463">
        <v>0</v>
      </c>
      <c r="S26" s="482">
        <v>1498</v>
      </c>
      <c r="T26" s="463">
        <v>0</v>
      </c>
      <c r="U26" s="464">
        <v>1498</v>
      </c>
      <c r="V26" s="463">
        <v>0</v>
      </c>
      <c r="W26" s="464">
        <v>1498</v>
      </c>
      <c r="X26" s="463">
        <v>0</v>
      </c>
      <c r="Y26" s="482">
        <v>9593.4</v>
      </c>
      <c r="Z26" s="463">
        <v>0.01</v>
      </c>
      <c r="AA26" s="464">
        <v>17373.400000000001</v>
      </c>
      <c r="AB26" s="463">
        <v>0.02</v>
      </c>
      <c r="AC26" s="464">
        <v>17373.400000000001</v>
      </c>
      <c r="AD26" s="463">
        <v>0.02</v>
      </c>
      <c r="AE26" s="464">
        <v>17373.400000000001</v>
      </c>
      <c r="AF26" s="463">
        <v>0.02</v>
      </c>
      <c r="AG26" s="464">
        <v>17373.400000000001</v>
      </c>
      <c r="AH26" s="463">
        <v>0.02</v>
      </c>
      <c r="AI26" s="482">
        <v>18373.400000000001</v>
      </c>
      <c r="AJ26" s="482">
        <v>0.02</v>
      </c>
      <c r="AK26" s="464">
        <v>18373.400000000001</v>
      </c>
      <c r="AL26" s="482">
        <v>0.02</v>
      </c>
      <c r="AM26" s="464">
        <v>2797.79</v>
      </c>
      <c r="AN26" s="482">
        <v>0</v>
      </c>
      <c r="AO26" s="464">
        <v>2797.79</v>
      </c>
      <c r="AP26" s="482">
        <v>0</v>
      </c>
    </row>
    <row r="27" spans="1:42">
      <c r="A27" s="101"/>
      <c r="B27" s="478" t="s">
        <v>58</v>
      </c>
      <c r="C27" s="48">
        <v>3000000</v>
      </c>
      <c r="D27" s="463">
        <v>2.89</v>
      </c>
      <c r="E27" s="48">
        <v>3000000</v>
      </c>
      <c r="F27" s="463">
        <v>2.89</v>
      </c>
      <c r="G27" s="48">
        <v>3000000</v>
      </c>
      <c r="H27" s="463">
        <v>2.91</v>
      </c>
      <c r="I27" s="48">
        <v>3000000</v>
      </c>
      <c r="J27" s="463">
        <v>2.9</v>
      </c>
      <c r="K27" s="48">
        <v>3000000</v>
      </c>
      <c r="L27" s="463">
        <v>2.9</v>
      </c>
      <c r="M27" s="48">
        <v>3000000</v>
      </c>
      <c r="N27" s="463">
        <v>2.9</v>
      </c>
      <c r="O27" s="48">
        <v>3000000</v>
      </c>
      <c r="P27" s="463">
        <v>2.9</v>
      </c>
      <c r="Q27" s="48">
        <v>3000000</v>
      </c>
      <c r="R27" s="463">
        <v>2.9</v>
      </c>
      <c r="S27" s="48">
        <v>3000000</v>
      </c>
      <c r="T27" s="463">
        <v>2.91</v>
      </c>
      <c r="U27" s="48">
        <v>3000000</v>
      </c>
      <c r="V27" s="463">
        <v>2.91</v>
      </c>
      <c r="W27" s="48">
        <v>3000000</v>
      </c>
      <c r="X27" s="463">
        <v>2.9</v>
      </c>
      <c r="Y27" s="48">
        <v>3000000</v>
      </c>
      <c r="Z27" s="463">
        <v>2.9</v>
      </c>
      <c r="AA27" s="48">
        <v>3000000</v>
      </c>
      <c r="AB27" s="463">
        <v>2.91</v>
      </c>
      <c r="AC27" s="48">
        <v>3000000</v>
      </c>
      <c r="AD27" s="463">
        <v>2.9</v>
      </c>
      <c r="AE27" s="48">
        <v>3000000</v>
      </c>
      <c r="AF27" s="463">
        <v>2.9</v>
      </c>
      <c r="AG27" s="48">
        <v>3000000</v>
      </c>
      <c r="AH27" s="463">
        <v>2.9</v>
      </c>
      <c r="AI27" s="48">
        <v>3000000</v>
      </c>
      <c r="AJ27" s="48">
        <v>2.9</v>
      </c>
      <c r="AK27" s="48">
        <v>3000000</v>
      </c>
      <c r="AL27" s="48">
        <v>2.9</v>
      </c>
      <c r="AM27" s="48">
        <v>3000000</v>
      </c>
      <c r="AN27" s="48">
        <v>2.9000000000000004</v>
      </c>
      <c r="AO27" s="48">
        <v>3000000</v>
      </c>
      <c r="AP27" s="48">
        <v>2.89</v>
      </c>
    </row>
    <row r="28" spans="1:42">
      <c r="A28" s="101"/>
      <c r="B28" s="478" t="s">
        <v>58</v>
      </c>
      <c r="C28" s="464">
        <v>2005000</v>
      </c>
      <c r="D28" s="463">
        <v>1.93</v>
      </c>
      <c r="E28" s="464">
        <v>2005000</v>
      </c>
      <c r="F28" s="463">
        <v>1.93</v>
      </c>
      <c r="G28" s="470">
        <v>1485000</v>
      </c>
      <c r="H28" s="463">
        <v>1.44</v>
      </c>
      <c r="I28" s="489">
        <v>1485000</v>
      </c>
      <c r="J28" s="463">
        <v>1.44</v>
      </c>
      <c r="K28" s="489">
        <v>1485000</v>
      </c>
      <c r="L28" s="463">
        <v>1.44</v>
      </c>
      <c r="M28" s="489">
        <v>1485000</v>
      </c>
      <c r="N28" s="463">
        <v>1.44</v>
      </c>
      <c r="O28" s="489">
        <v>1485000</v>
      </c>
      <c r="P28" s="463">
        <v>1.44</v>
      </c>
      <c r="Q28" s="489">
        <v>1485000</v>
      </c>
      <c r="R28" s="463">
        <v>1.44</v>
      </c>
      <c r="S28" s="489">
        <v>1485000</v>
      </c>
      <c r="T28" s="463">
        <v>1.44</v>
      </c>
      <c r="U28" s="489">
        <v>1485000</v>
      </c>
      <c r="V28" s="463">
        <v>1.44</v>
      </c>
      <c r="W28" s="489">
        <v>1485000</v>
      </c>
      <c r="X28" s="463">
        <v>1.44</v>
      </c>
      <c r="Y28" s="489">
        <v>1485000</v>
      </c>
      <c r="Z28" s="463">
        <v>1.44</v>
      </c>
      <c r="AA28" s="489">
        <v>1485000</v>
      </c>
      <c r="AB28" s="463">
        <v>1.44</v>
      </c>
      <c r="AC28" s="489">
        <v>1485000</v>
      </c>
      <c r="AD28" s="463">
        <v>1.44</v>
      </c>
      <c r="AE28" s="464">
        <v>1760000</v>
      </c>
      <c r="AF28" s="463">
        <v>1.7</v>
      </c>
      <c r="AG28" s="464">
        <v>1760000</v>
      </c>
      <c r="AH28" s="463">
        <v>1.7</v>
      </c>
      <c r="AI28" s="464">
        <v>1760000</v>
      </c>
      <c r="AJ28" s="464">
        <v>1.7</v>
      </c>
      <c r="AK28" s="464">
        <v>1760000</v>
      </c>
      <c r="AL28" s="464">
        <v>1.7</v>
      </c>
      <c r="AM28" s="470">
        <v>1805000</v>
      </c>
      <c r="AN28" s="464">
        <v>1.75</v>
      </c>
      <c r="AO28" s="489">
        <v>1805000</v>
      </c>
      <c r="AP28" s="464">
        <v>1.75</v>
      </c>
    </row>
    <row r="29" spans="1:42">
      <c r="A29" s="103"/>
      <c r="B29" s="478" t="s">
        <v>100</v>
      </c>
      <c r="C29" s="48">
        <v>2000000</v>
      </c>
      <c r="D29" s="502">
        <v>1.93</v>
      </c>
      <c r="E29" s="48">
        <v>2000000</v>
      </c>
      <c r="F29" s="502">
        <v>1.93</v>
      </c>
      <c r="G29" s="48">
        <v>2000000</v>
      </c>
      <c r="H29" s="502">
        <v>1.94</v>
      </c>
      <c r="I29" s="48">
        <v>2000000</v>
      </c>
      <c r="J29" s="502">
        <v>1.94</v>
      </c>
      <c r="K29" s="48">
        <v>2000000</v>
      </c>
      <c r="L29" s="502">
        <v>1.93</v>
      </c>
      <c r="M29" s="48">
        <v>2000000</v>
      </c>
      <c r="N29" s="502">
        <v>1.93</v>
      </c>
      <c r="O29" s="48">
        <v>2000000</v>
      </c>
      <c r="P29" s="502">
        <v>1.94</v>
      </c>
      <c r="Q29" s="48">
        <v>2000000</v>
      </c>
      <c r="R29" s="502">
        <v>1.94</v>
      </c>
      <c r="S29" s="48">
        <v>2000000</v>
      </c>
      <c r="T29" s="502">
        <v>1.94</v>
      </c>
      <c r="U29" s="48">
        <v>2000000</v>
      </c>
      <c r="V29" s="502">
        <v>1.94</v>
      </c>
      <c r="W29" s="48">
        <v>2000000</v>
      </c>
      <c r="X29" s="502">
        <v>1.93</v>
      </c>
      <c r="Y29" s="48">
        <v>2000000</v>
      </c>
      <c r="Z29" s="502">
        <v>1.93</v>
      </c>
      <c r="AA29" s="48">
        <v>2000000</v>
      </c>
      <c r="AB29" s="502">
        <v>1.94</v>
      </c>
      <c r="AC29" s="48">
        <v>2000000</v>
      </c>
      <c r="AD29" s="502">
        <v>1.93</v>
      </c>
      <c r="AE29" s="48">
        <v>2000000</v>
      </c>
      <c r="AF29" s="502">
        <v>1.93</v>
      </c>
      <c r="AG29" s="48">
        <v>2000000</v>
      </c>
      <c r="AH29" s="502">
        <v>1.93</v>
      </c>
      <c r="AI29" s="48">
        <v>2000000</v>
      </c>
      <c r="AJ29" s="48">
        <v>1.93</v>
      </c>
      <c r="AK29" s="48">
        <v>2000000</v>
      </c>
      <c r="AL29" s="48">
        <v>1.93</v>
      </c>
      <c r="AM29" s="48">
        <v>2000000</v>
      </c>
      <c r="AN29" s="48">
        <v>1.94</v>
      </c>
      <c r="AO29" s="48">
        <v>2000000</v>
      </c>
      <c r="AP29" s="48">
        <v>1.94</v>
      </c>
    </row>
    <row r="30" spans="1:42">
      <c r="A30" s="103"/>
      <c r="B30" s="478" t="s">
        <v>103</v>
      </c>
      <c r="C30" s="48">
        <v>9000000</v>
      </c>
      <c r="D30" s="463">
        <v>8.67</v>
      </c>
      <c r="E30" s="48">
        <v>9000000</v>
      </c>
      <c r="F30" s="463">
        <v>8.67</v>
      </c>
      <c r="G30" s="48">
        <v>9000000</v>
      </c>
      <c r="H30" s="463">
        <v>8.73</v>
      </c>
      <c r="I30" s="48">
        <v>9000000</v>
      </c>
      <c r="J30" s="463">
        <v>8.7100000000000009</v>
      </c>
      <c r="K30" s="48">
        <v>9000000</v>
      </c>
      <c r="L30" s="463">
        <v>8.7100000000000009</v>
      </c>
      <c r="M30" s="48">
        <v>9000000</v>
      </c>
      <c r="N30" s="463">
        <v>8.6999999999999993</v>
      </c>
      <c r="O30" s="48">
        <v>9000000</v>
      </c>
      <c r="P30" s="463">
        <v>8.7100000000000009</v>
      </c>
      <c r="Q30" s="48">
        <v>9000000</v>
      </c>
      <c r="R30" s="463">
        <v>8.7100000000000009</v>
      </c>
      <c r="S30" s="48">
        <v>9000000</v>
      </c>
      <c r="T30" s="463">
        <v>8.73</v>
      </c>
      <c r="U30" s="48">
        <v>9000000</v>
      </c>
      <c r="V30" s="463">
        <v>8.7200000000000006</v>
      </c>
      <c r="W30" s="48">
        <v>9000000</v>
      </c>
      <c r="X30" s="463">
        <v>8.6999999999999993</v>
      </c>
      <c r="Y30" s="48">
        <v>9000000</v>
      </c>
      <c r="Z30" s="463">
        <v>8.6999999999999993</v>
      </c>
      <c r="AA30" s="48">
        <v>9000000</v>
      </c>
      <c r="AB30" s="463">
        <v>8.7200000000000006</v>
      </c>
      <c r="AC30" s="48">
        <v>9000000</v>
      </c>
      <c r="AD30" s="463">
        <v>8.6999999999999993</v>
      </c>
      <c r="AE30" s="48">
        <v>9000000</v>
      </c>
      <c r="AF30" s="463">
        <v>8.6999999999999993</v>
      </c>
      <c r="AG30" s="48">
        <v>9000000</v>
      </c>
      <c r="AH30" s="463">
        <v>8.6999999999999993</v>
      </c>
      <c r="AI30" s="48">
        <v>9000000</v>
      </c>
      <c r="AJ30" s="48">
        <v>8.69</v>
      </c>
      <c r="AK30" s="48">
        <v>9000000</v>
      </c>
      <c r="AL30" s="48">
        <v>8.6999999999999993</v>
      </c>
      <c r="AM30" s="48">
        <v>9000000</v>
      </c>
      <c r="AN30" s="48">
        <v>8.7200000000000006</v>
      </c>
      <c r="AO30" s="48">
        <v>9000000</v>
      </c>
      <c r="AP30" s="48">
        <v>8.6999999999999993</v>
      </c>
    </row>
    <row r="31" spans="1:42" ht="15.75" customHeight="1">
      <c r="A31" s="103"/>
      <c r="B31" s="478" t="s">
        <v>95</v>
      </c>
      <c r="C31" s="48">
        <v>2500000</v>
      </c>
      <c r="D31" s="463">
        <v>2.41</v>
      </c>
      <c r="E31" s="48">
        <v>2500000</v>
      </c>
      <c r="F31" s="463">
        <v>2.41</v>
      </c>
      <c r="G31" s="48">
        <v>2500000</v>
      </c>
      <c r="H31" s="463">
        <v>2.4299999999999997</v>
      </c>
      <c r="I31" s="48">
        <v>2500000</v>
      </c>
      <c r="J31" s="463">
        <v>2.42</v>
      </c>
      <c r="K31" s="48">
        <v>2500000</v>
      </c>
      <c r="L31" s="463">
        <v>2.42</v>
      </c>
      <c r="M31" s="48">
        <v>2500000</v>
      </c>
      <c r="N31" s="463">
        <v>2.42</v>
      </c>
      <c r="O31" s="48">
        <v>2500000</v>
      </c>
      <c r="P31" s="463">
        <v>2.42</v>
      </c>
      <c r="Q31" s="48">
        <v>2500000</v>
      </c>
      <c r="R31" s="463">
        <v>2.42</v>
      </c>
      <c r="S31" s="48">
        <v>2500000</v>
      </c>
      <c r="T31" s="463">
        <v>2.42</v>
      </c>
      <c r="U31" s="48">
        <v>2500000</v>
      </c>
      <c r="V31" s="463">
        <v>2.42</v>
      </c>
      <c r="W31" s="48">
        <v>2500000</v>
      </c>
      <c r="X31" s="463">
        <v>2.42</v>
      </c>
      <c r="Y31" s="48">
        <v>2500000</v>
      </c>
      <c r="Z31" s="463">
        <v>2.42</v>
      </c>
      <c r="AA31" s="48">
        <v>2500000</v>
      </c>
      <c r="AB31" s="463">
        <v>2.42</v>
      </c>
      <c r="AC31" s="48">
        <v>2500000</v>
      </c>
      <c r="AD31" s="463">
        <v>2.42</v>
      </c>
      <c r="AE31" s="48">
        <v>2500000</v>
      </c>
      <c r="AF31" s="463">
        <v>2.42</v>
      </c>
      <c r="AG31" s="48">
        <v>2500000</v>
      </c>
      <c r="AH31" s="463">
        <v>2.42</v>
      </c>
      <c r="AI31" s="48">
        <v>2500000</v>
      </c>
      <c r="AJ31" s="48">
        <v>2.41</v>
      </c>
      <c r="AK31" s="48">
        <v>2500000</v>
      </c>
      <c r="AL31" s="48">
        <v>2.42</v>
      </c>
      <c r="AM31" s="48">
        <v>2500000</v>
      </c>
      <c r="AN31" s="48">
        <v>2.42</v>
      </c>
      <c r="AO31" s="48">
        <v>2500000</v>
      </c>
      <c r="AP31" s="48">
        <v>2.42</v>
      </c>
    </row>
    <row r="32" spans="1:42">
      <c r="A32" s="103"/>
      <c r="B32" s="478" t="s">
        <v>125</v>
      </c>
      <c r="C32" s="48">
        <v>4000000</v>
      </c>
      <c r="D32" s="463">
        <v>3.85</v>
      </c>
      <c r="E32" s="48">
        <v>4000000</v>
      </c>
      <c r="F32" s="463">
        <v>3.85</v>
      </c>
      <c r="G32" s="48">
        <v>4000000</v>
      </c>
      <c r="H32" s="463">
        <v>3.88</v>
      </c>
      <c r="I32" s="48">
        <v>4000000</v>
      </c>
      <c r="J32" s="463">
        <v>3.87</v>
      </c>
      <c r="K32" s="48">
        <v>4000000</v>
      </c>
      <c r="L32" s="463">
        <v>3.87</v>
      </c>
      <c r="M32" s="48">
        <v>4000000</v>
      </c>
      <c r="N32" s="463">
        <v>3.87</v>
      </c>
      <c r="O32" s="48">
        <v>4000000</v>
      </c>
      <c r="P32" s="463">
        <v>3.87</v>
      </c>
      <c r="Q32" s="48">
        <v>4000000</v>
      </c>
      <c r="R32" s="463">
        <v>3.87</v>
      </c>
      <c r="S32" s="48">
        <v>4000000</v>
      </c>
      <c r="T32" s="463">
        <v>3.88</v>
      </c>
      <c r="U32" s="48">
        <v>4000000</v>
      </c>
      <c r="V32" s="463">
        <v>3.88</v>
      </c>
      <c r="W32" s="48">
        <v>4000000</v>
      </c>
      <c r="X32" s="463">
        <v>3.87</v>
      </c>
      <c r="Y32" s="48">
        <v>4000000</v>
      </c>
      <c r="Z32" s="463">
        <v>3.87</v>
      </c>
      <c r="AA32" s="48">
        <v>4000000</v>
      </c>
      <c r="AB32" s="463">
        <v>3.87</v>
      </c>
      <c r="AC32" s="48">
        <v>4000000</v>
      </c>
      <c r="AD32" s="463">
        <v>3.8600000000000003</v>
      </c>
      <c r="AE32" s="48">
        <v>4000000</v>
      </c>
      <c r="AF32" s="463">
        <v>3.8600000000000003</v>
      </c>
      <c r="AG32" s="48">
        <v>4000000</v>
      </c>
      <c r="AH32" s="463">
        <v>3.8600000000000003</v>
      </c>
      <c r="AI32" s="48">
        <v>4000000</v>
      </c>
      <c r="AJ32" s="48">
        <v>3.86</v>
      </c>
      <c r="AK32" s="48">
        <v>4000000</v>
      </c>
      <c r="AL32" s="48">
        <v>3.8600000000000003</v>
      </c>
      <c r="AM32" s="48">
        <v>4000000</v>
      </c>
      <c r="AN32" s="48">
        <v>3.87</v>
      </c>
      <c r="AO32" s="48">
        <v>4000000</v>
      </c>
      <c r="AP32" s="48">
        <v>3.87</v>
      </c>
    </row>
    <row r="33" spans="1:42">
      <c r="A33" s="103"/>
      <c r="B33" s="478" t="s">
        <v>125</v>
      </c>
      <c r="C33" s="48">
        <v>1000000</v>
      </c>
      <c r="D33" s="463">
        <v>0.96</v>
      </c>
      <c r="E33" s="48">
        <v>1000000</v>
      </c>
      <c r="F33" s="463">
        <v>0.96</v>
      </c>
      <c r="G33" s="48">
        <v>1000000</v>
      </c>
      <c r="H33" s="463">
        <v>0.97</v>
      </c>
      <c r="I33" s="48">
        <v>1000000</v>
      </c>
      <c r="J33" s="463">
        <v>0.97</v>
      </c>
      <c r="K33" s="48">
        <v>1000000</v>
      </c>
      <c r="L33" s="463">
        <v>0.97</v>
      </c>
      <c r="M33" s="48">
        <v>1000000</v>
      </c>
      <c r="N33" s="463">
        <v>0.97</v>
      </c>
      <c r="O33" s="48">
        <v>1000000</v>
      </c>
      <c r="P33" s="463">
        <v>0.97</v>
      </c>
      <c r="Q33" s="48">
        <v>1000000</v>
      </c>
      <c r="R33" s="463">
        <v>0.97</v>
      </c>
      <c r="S33" s="48">
        <v>1000000</v>
      </c>
      <c r="T33" s="463">
        <v>0.97</v>
      </c>
      <c r="U33" s="48">
        <v>1000000</v>
      </c>
      <c r="V33" s="463">
        <v>0.97</v>
      </c>
      <c r="W33" s="48">
        <v>1000000</v>
      </c>
      <c r="X33" s="463">
        <v>0.97</v>
      </c>
      <c r="Y33" s="48">
        <v>1000000</v>
      </c>
      <c r="Z33" s="463">
        <v>0.97</v>
      </c>
      <c r="AA33" s="48">
        <v>1000000</v>
      </c>
      <c r="AB33" s="463">
        <v>0.97</v>
      </c>
      <c r="AC33" s="48">
        <v>1000000</v>
      </c>
      <c r="AD33" s="463">
        <v>0.97</v>
      </c>
      <c r="AE33" s="48">
        <v>1000000</v>
      </c>
      <c r="AF33" s="463">
        <v>0.97</v>
      </c>
      <c r="AG33" s="48">
        <v>1000000</v>
      </c>
      <c r="AH33" s="463">
        <v>0.96</v>
      </c>
      <c r="AI33" s="48">
        <v>1000000</v>
      </c>
      <c r="AJ33" s="48">
        <v>0.97</v>
      </c>
      <c r="AK33" s="48">
        <v>1000000</v>
      </c>
      <c r="AL33" s="48">
        <v>0.97</v>
      </c>
      <c r="AM33" s="48">
        <v>1000000</v>
      </c>
      <c r="AN33" s="48">
        <v>0.97</v>
      </c>
      <c r="AO33" s="48">
        <v>1000000</v>
      </c>
      <c r="AP33" s="48">
        <v>0.97</v>
      </c>
    </row>
    <row r="34" spans="1:42" ht="16.5" thickBot="1">
      <c r="A34" s="101" t="s">
        <v>47</v>
      </c>
      <c r="B34" s="478" t="s">
        <v>104</v>
      </c>
      <c r="C34" s="456">
        <v>2000000</v>
      </c>
      <c r="D34" s="463">
        <v>1.93</v>
      </c>
      <c r="E34" s="456">
        <v>2000000</v>
      </c>
      <c r="F34" s="463">
        <v>1.93</v>
      </c>
      <c r="G34" s="456">
        <v>2000000</v>
      </c>
      <c r="H34" s="463">
        <v>1.94</v>
      </c>
      <c r="I34" s="456">
        <v>2000000</v>
      </c>
      <c r="J34" s="463">
        <v>1.94</v>
      </c>
      <c r="K34" s="456">
        <v>2000000</v>
      </c>
      <c r="L34" s="463">
        <v>1.94</v>
      </c>
      <c r="M34" s="456">
        <v>2000000</v>
      </c>
      <c r="N34" s="463">
        <v>1.93</v>
      </c>
      <c r="O34" s="456">
        <v>2000000</v>
      </c>
      <c r="P34" s="463">
        <v>1.94</v>
      </c>
      <c r="Q34" s="456">
        <v>2000000</v>
      </c>
      <c r="R34" s="463">
        <v>1.94</v>
      </c>
      <c r="S34" s="456">
        <v>2000000</v>
      </c>
      <c r="T34" s="463">
        <v>1.94</v>
      </c>
      <c r="U34" s="456">
        <v>2000000</v>
      </c>
      <c r="V34" s="463">
        <v>1.94</v>
      </c>
      <c r="W34" s="456">
        <v>2000000</v>
      </c>
      <c r="X34" s="463">
        <v>1.93</v>
      </c>
      <c r="Y34" s="456">
        <v>2000000</v>
      </c>
      <c r="Z34" s="463">
        <v>1.94</v>
      </c>
      <c r="AA34" s="456">
        <v>2000000</v>
      </c>
      <c r="AB34" s="463">
        <v>1.94</v>
      </c>
      <c r="AC34" s="456">
        <v>2000000</v>
      </c>
      <c r="AD34" s="463">
        <v>1.93</v>
      </c>
      <c r="AE34" s="456">
        <v>2000000</v>
      </c>
      <c r="AF34" s="463">
        <v>1.93</v>
      </c>
      <c r="AG34" s="456">
        <v>2000000</v>
      </c>
      <c r="AH34" s="463">
        <v>1.93</v>
      </c>
      <c r="AI34" s="456">
        <v>2000000</v>
      </c>
      <c r="AJ34" s="456">
        <v>1.93</v>
      </c>
      <c r="AK34" s="456">
        <v>2000000</v>
      </c>
      <c r="AL34" s="456">
        <v>1.93</v>
      </c>
      <c r="AM34" s="456">
        <v>2000000</v>
      </c>
      <c r="AN34" s="456">
        <v>1.94</v>
      </c>
      <c r="AO34" s="456">
        <v>2000000</v>
      </c>
      <c r="AP34" s="456">
        <v>1.93</v>
      </c>
    </row>
    <row r="35" spans="1:42" ht="16.5" thickBot="1">
      <c r="A35" s="1028" t="s">
        <v>111</v>
      </c>
      <c r="B35" s="1028"/>
      <c r="C35" s="408">
        <f t="shared" ref="C35:AP35" si="3">SUM(C23:C34)</f>
        <v>25634141.629999999</v>
      </c>
      <c r="D35" s="408">
        <f t="shared" si="3"/>
        <v>24.69</v>
      </c>
      <c r="E35" s="408">
        <f t="shared" si="3"/>
        <v>25634141.629999999</v>
      </c>
      <c r="F35" s="408">
        <f t="shared" si="3"/>
        <v>24.69</v>
      </c>
      <c r="G35" s="408">
        <f t="shared" si="3"/>
        <v>25082272.219999999</v>
      </c>
      <c r="H35" s="408">
        <f t="shared" si="3"/>
        <v>24.33</v>
      </c>
      <c r="I35" s="408">
        <f t="shared" si="3"/>
        <v>25071265.59</v>
      </c>
      <c r="J35" s="408">
        <f t="shared" si="3"/>
        <v>24.270000000000003</v>
      </c>
      <c r="K35" s="408">
        <f t="shared" si="3"/>
        <v>25099482.600000001</v>
      </c>
      <c r="L35" s="408">
        <f t="shared" si="3"/>
        <v>24.29</v>
      </c>
      <c r="M35" s="408">
        <f t="shared" si="3"/>
        <v>25165007.259999998</v>
      </c>
      <c r="N35" s="408">
        <f t="shared" si="3"/>
        <v>24.34</v>
      </c>
      <c r="O35" s="408">
        <f t="shared" si="3"/>
        <v>25167705.259999998</v>
      </c>
      <c r="P35" s="408">
        <f t="shared" si="3"/>
        <v>24.37</v>
      </c>
      <c r="Q35" s="408">
        <f t="shared" si="3"/>
        <v>24998047.73</v>
      </c>
      <c r="R35" s="408">
        <f t="shared" si="3"/>
        <v>24.200000000000003</v>
      </c>
      <c r="S35" s="408">
        <f t="shared" si="3"/>
        <v>24998047.73</v>
      </c>
      <c r="T35" s="408">
        <f t="shared" si="3"/>
        <v>24.24</v>
      </c>
      <c r="U35" s="408">
        <f t="shared" si="3"/>
        <v>25012245.189999998</v>
      </c>
      <c r="V35" s="408">
        <f t="shared" si="3"/>
        <v>24.240000000000002</v>
      </c>
      <c r="W35" s="408">
        <f t="shared" si="3"/>
        <v>25012245.189999998</v>
      </c>
      <c r="X35" s="408">
        <f t="shared" si="3"/>
        <v>24.179999999999996</v>
      </c>
      <c r="Y35" s="408">
        <f t="shared" si="3"/>
        <v>24995340.59</v>
      </c>
      <c r="Z35" s="408">
        <f t="shared" si="3"/>
        <v>24.18</v>
      </c>
      <c r="AA35" s="408">
        <f t="shared" si="3"/>
        <v>25128563.5</v>
      </c>
      <c r="AB35" s="408">
        <f t="shared" si="3"/>
        <v>24.35</v>
      </c>
      <c r="AC35" s="408">
        <f t="shared" si="3"/>
        <v>25128563.5</v>
      </c>
      <c r="AD35" s="408">
        <f t="shared" si="3"/>
        <v>24.29</v>
      </c>
      <c r="AE35" s="408">
        <f t="shared" si="3"/>
        <v>25278143.5</v>
      </c>
      <c r="AF35" s="408">
        <f t="shared" si="3"/>
        <v>24.43</v>
      </c>
      <c r="AG35" s="408">
        <f t="shared" si="3"/>
        <v>25278143.5</v>
      </c>
      <c r="AH35" s="408">
        <f t="shared" si="3"/>
        <v>24.42</v>
      </c>
      <c r="AI35" s="408">
        <f t="shared" si="3"/>
        <v>25279143.5</v>
      </c>
      <c r="AJ35" s="408">
        <f t="shared" si="3"/>
        <v>24.409999999999997</v>
      </c>
      <c r="AK35" s="408">
        <f t="shared" si="3"/>
        <v>31971628.5</v>
      </c>
      <c r="AL35" s="408">
        <f t="shared" si="3"/>
        <v>30.9</v>
      </c>
      <c r="AM35" s="408">
        <f t="shared" si="3"/>
        <v>25308178.810000002</v>
      </c>
      <c r="AN35" s="408">
        <f t="shared" si="3"/>
        <v>24.51</v>
      </c>
      <c r="AO35" s="408">
        <f t="shared" si="3"/>
        <v>25308178.810000002</v>
      </c>
      <c r="AP35" s="408">
        <f t="shared" si="3"/>
        <v>24.47</v>
      </c>
    </row>
    <row r="36" spans="1:42" ht="16.5" thickBot="1">
      <c r="A36" s="1029" t="s">
        <v>48</v>
      </c>
      <c r="B36" s="1030"/>
      <c r="C36" s="409"/>
      <c r="D36" s="432"/>
      <c r="E36" s="409"/>
      <c r="F36" s="432"/>
      <c r="G36" s="409"/>
      <c r="H36" s="432"/>
      <c r="I36" s="409"/>
      <c r="J36" s="432"/>
      <c r="K36" s="409"/>
      <c r="L36" s="432"/>
      <c r="M36" s="409"/>
      <c r="N36" s="432"/>
      <c r="O36" s="409"/>
      <c r="P36" s="432"/>
      <c r="Q36" s="409"/>
      <c r="R36" s="432"/>
      <c r="S36" s="409"/>
      <c r="T36" s="432"/>
      <c r="U36" s="409"/>
      <c r="V36" s="432"/>
      <c r="W36" s="409"/>
      <c r="X36" s="432"/>
      <c r="Y36" s="409"/>
      <c r="Z36" s="432"/>
      <c r="AA36" s="409"/>
      <c r="AB36" s="432"/>
      <c r="AC36" s="409"/>
      <c r="AD36" s="432"/>
      <c r="AE36" s="409"/>
      <c r="AF36" s="432"/>
      <c r="AG36" s="409"/>
      <c r="AH36" s="432"/>
      <c r="AI36" s="409"/>
      <c r="AJ36" s="432"/>
      <c r="AK36" s="409"/>
      <c r="AL36" s="432"/>
      <c r="AM36" s="409"/>
      <c r="AN36" s="432"/>
      <c r="AO36" s="409"/>
      <c r="AP36" s="432"/>
    </row>
    <row r="37" spans="1:42" ht="16.5" thickBot="1">
      <c r="A37" s="1031" t="s">
        <v>111</v>
      </c>
      <c r="B37" s="1031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</row>
    <row r="38" spans="1:42">
      <c r="A38" s="114" t="s">
        <v>67</v>
      </c>
      <c r="B38" s="115" t="s">
        <v>74</v>
      </c>
      <c r="C38" s="436"/>
      <c r="D38" s="436"/>
      <c r="E38" s="436"/>
      <c r="F38" s="436"/>
      <c r="G38" s="436">
        <v>300</v>
      </c>
      <c r="H38" s="518"/>
      <c r="I38" s="436">
        <v>300</v>
      </c>
      <c r="J38" s="518"/>
      <c r="K38" s="436">
        <v>300</v>
      </c>
      <c r="L38" s="518"/>
      <c r="M38" s="436">
        <v>300</v>
      </c>
      <c r="N38" s="518"/>
      <c r="O38" s="436">
        <v>300</v>
      </c>
      <c r="P38" s="518"/>
      <c r="Q38" s="436">
        <v>300</v>
      </c>
      <c r="R38" s="518"/>
      <c r="S38" s="436">
        <v>300</v>
      </c>
      <c r="T38" s="518"/>
      <c r="U38" s="436">
        <v>300</v>
      </c>
      <c r="V38" s="518"/>
      <c r="W38" s="436">
        <v>300</v>
      </c>
      <c r="X38" s="518"/>
      <c r="Y38" s="436">
        <v>300</v>
      </c>
      <c r="Z38" s="518"/>
      <c r="AA38" s="436">
        <v>300</v>
      </c>
      <c r="AB38" s="518"/>
      <c r="AC38" s="436">
        <v>300</v>
      </c>
      <c r="AD38" s="518"/>
      <c r="AE38" s="436">
        <v>300</v>
      </c>
      <c r="AF38" s="518"/>
      <c r="AG38" s="436">
        <v>300</v>
      </c>
      <c r="AH38" s="518"/>
      <c r="AI38" s="436">
        <v>300</v>
      </c>
      <c r="AJ38" s="518"/>
      <c r="AK38" s="436">
        <v>300</v>
      </c>
      <c r="AL38" s="518"/>
      <c r="AM38" s="436">
        <v>300</v>
      </c>
      <c r="AN38" s="518"/>
      <c r="AO38" s="518"/>
      <c r="AP38" s="518"/>
    </row>
    <row r="39" spans="1:42" ht="47.25">
      <c r="A39" s="122" t="s">
        <v>58</v>
      </c>
      <c r="B39" s="123" t="s">
        <v>75</v>
      </c>
      <c r="C39" s="511">
        <v>45634.84</v>
      </c>
      <c r="D39" s="433">
        <v>0.04</v>
      </c>
      <c r="E39" s="473">
        <v>46199.13</v>
      </c>
      <c r="F39" s="433">
        <v>0.04</v>
      </c>
      <c r="G39" s="536">
        <v>46763.42</v>
      </c>
      <c r="H39" s="526">
        <v>0.05</v>
      </c>
      <c r="I39" s="473">
        <v>47327.7</v>
      </c>
      <c r="J39" s="526">
        <v>0.04</v>
      </c>
      <c r="K39" s="473">
        <v>47891.99</v>
      </c>
      <c r="L39" s="526">
        <v>0.04</v>
      </c>
      <c r="M39" s="473">
        <v>49584.85</v>
      </c>
      <c r="N39" s="526">
        <v>0.05</v>
      </c>
      <c r="O39" s="473">
        <v>50149.14</v>
      </c>
      <c r="P39" s="526">
        <v>0.05</v>
      </c>
      <c r="Q39" s="473">
        <v>50713.43</v>
      </c>
      <c r="R39" s="526">
        <v>0.05</v>
      </c>
      <c r="S39" s="473">
        <v>51277.72</v>
      </c>
      <c r="T39" s="526">
        <v>0.05</v>
      </c>
      <c r="U39" s="473">
        <v>51842.01</v>
      </c>
      <c r="V39" s="526">
        <v>0.05</v>
      </c>
      <c r="W39" s="473">
        <v>53534.87</v>
      </c>
      <c r="X39" s="526">
        <v>0.05</v>
      </c>
      <c r="Y39" s="473">
        <v>54099.16</v>
      </c>
      <c r="Z39" s="526">
        <v>0.05</v>
      </c>
      <c r="AA39" s="473">
        <v>54663.44</v>
      </c>
      <c r="AB39" s="526">
        <v>0.05</v>
      </c>
      <c r="AC39" s="473">
        <v>55227.73</v>
      </c>
      <c r="AD39" s="526">
        <v>0.05</v>
      </c>
      <c r="AE39" s="473">
        <v>55792.02</v>
      </c>
      <c r="AF39" s="526">
        <v>0.05</v>
      </c>
      <c r="AG39" s="473">
        <v>57484.88</v>
      </c>
      <c r="AH39" s="526">
        <v>0.05</v>
      </c>
      <c r="AI39" s="473">
        <v>58049.17</v>
      </c>
      <c r="AJ39" s="526">
        <v>0.05</v>
      </c>
      <c r="AK39" s="473">
        <v>58613.46</v>
      </c>
      <c r="AL39" s="526">
        <v>0.06</v>
      </c>
      <c r="AM39" s="473">
        <v>59177.74</v>
      </c>
      <c r="AN39" s="526">
        <v>0.06</v>
      </c>
      <c r="AO39" s="536">
        <v>59742.03</v>
      </c>
      <c r="AP39" s="526">
        <v>0.06</v>
      </c>
    </row>
    <row r="40" spans="1:42" ht="16.5" thickBot="1">
      <c r="A40" s="122"/>
      <c r="B40" s="123"/>
      <c r="C40" s="509"/>
      <c r="D40" s="509"/>
      <c r="E40" s="509"/>
      <c r="F40" s="509"/>
      <c r="G40" s="527"/>
      <c r="H40" s="527"/>
      <c r="I40" s="527"/>
      <c r="J40" s="527"/>
      <c r="K40" s="527"/>
      <c r="L40" s="527"/>
      <c r="M40" s="527"/>
      <c r="N40" s="527"/>
      <c r="O40" s="527"/>
      <c r="P40" s="527"/>
      <c r="Q40" s="527"/>
      <c r="R40" s="527"/>
      <c r="S40" s="527"/>
      <c r="T40" s="527"/>
      <c r="U40" s="527"/>
      <c r="V40" s="527"/>
      <c r="W40" s="527"/>
      <c r="X40" s="527"/>
      <c r="Y40" s="527"/>
      <c r="Z40" s="527"/>
      <c r="AA40" s="527"/>
      <c r="AB40" s="527"/>
      <c r="AC40" s="527"/>
      <c r="AD40" s="527"/>
      <c r="AE40" s="527"/>
      <c r="AF40" s="527"/>
      <c r="AG40" s="527"/>
      <c r="AH40" s="527"/>
      <c r="AI40" s="527"/>
      <c r="AJ40" s="527"/>
      <c r="AK40" s="527"/>
      <c r="AL40" s="527"/>
      <c r="AM40" s="527"/>
      <c r="AN40" s="527"/>
      <c r="AO40" s="527"/>
      <c r="AP40" s="527"/>
    </row>
    <row r="41" spans="1:42" ht="16.5" thickBot="1">
      <c r="A41" s="122" t="s">
        <v>101</v>
      </c>
      <c r="B41" s="123" t="s">
        <v>57</v>
      </c>
      <c r="C41" s="515">
        <v>1804861.31</v>
      </c>
      <c r="D41" s="434">
        <v>1.74</v>
      </c>
      <c r="E41" s="423">
        <v>1801116.79</v>
      </c>
      <c r="F41" s="434">
        <v>1.75</v>
      </c>
      <c r="G41" s="539">
        <v>1797372.26</v>
      </c>
      <c r="H41" s="528">
        <v>1.74</v>
      </c>
      <c r="I41" s="423">
        <v>1793627.74</v>
      </c>
      <c r="J41" s="528">
        <v>1.74</v>
      </c>
      <c r="K41" s="423">
        <v>1789883.21</v>
      </c>
      <c r="L41" s="528">
        <v>1.73</v>
      </c>
      <c r="M41" s="423">
        <v>1778649.64</v>
      </c>
      <c r="N41" s="528">
        <v>1.72</v>
      </c>
      <c r="O41" s="423">
        <v>1774905.11</v>
      </c>
      <c r="P41" s="528">
        <v>1.72</v>
      </c>
      <c r="Q41" s="423">
        <v>1771160.58</v>
      </c>
      <c r="R41" s="528">
        <v>1.71</v>
      </c>
      <c r="S41" s="423">
        <v>1767416.06</v>
      </c>
      <c r="T41" s="528">
        <v>1.71</v>
      </c>
      <c r="U41" s="423">
        <v>1763671.53</v>
      </c>
      <c r="V41" s="528">
        <v>1.71</v>
      </c>
      <c r="W41" s="423">
        <v>1752437.96</v>
      </c>
      <c r="X41" s="528">
        <v>1.69</v>
      </c>
      <c r="Y41" s="423">
        <v>1748693.43</v>
      </c>
      <c r="Z41" s="528">
        <v>1.69</v>
      </c>
      <c r="AA41" s="423">
        <v>1744948.91</v>
      </c>
      <c r="AB41" s="528">
        <v>1.69</v>
      </c>
      <c r="AC41" s="423">
        <v>1741204.38</v>
      </c>
      <c r="AD41" s="528">
        <v>1.68</v>
      </c>
      <c r="AE41" s="423">
        <v>1737459.85</v>
      </c>
      <c r="AF41" s="528">
        <v>1.68</v>
      </c>
      <c r="AG41" s="423">
        <v>1726226.28</v>
      </c>
      <c r="AH41" s="528">
        <v>1.67</v>
      </c>
      <c r="AI41" s="423">
        <v>1722481.75</v>
      </c>
      <c r="AJ41" s="528">
        <v>1.66</v>
      </c>
      <c r="AK41" s="423">
        <v>1718737.23</v>
      </c>
      <c r="AL41" s="528">
        <v>1.66</v>
      </c>
      <c r="AM41" s="423">
        <v>1714992.7</v>
      </c>
      <c r="AN41" s="528">
        <v>1.66</v>
      </c>
      <c r="AO41" s="539">
        <v>1711248.18</v>
      </c>
      <c r="AP41" s="528">
        <v>1.65</v>
      </c>
    </row>
    <row r="42" spans="1:42" ht="16.5" thickBot="1">
      <c r="A42" s="122" t="s">
        <v>29</v>
      </c>
      <c r="B42" s="123" t="s">
        <v>57</v>
      </c>
      <c r="C42" s="411"/>
      <c r="D42" s="436"/>
      <c r="E42" s="411"/>
      <c r="F42" s="436"/>
      <c r="G42" s="529"/>
      <c r="H42" s="518"/>
      <c r="I42" s="529"/>
      <c r="J42" s="518"/>
      <c r="K42" s="529"/>
      <c r="L42" s="518"/>
      <c r="M42" s="529"/>
      <c r="N42" s="518"/>
      <c r="O42" s="529"/>
      <c r="P42" s="518"/>
      <c r="Q42" s="529"/>
      <c r="R42" s="518"/>
      <c r="S42" s="529"/>
      <c r="T42" s="518"/>
      <c r="U42" s="529"/>
      <c r="V42" s="518"/>
      <c r="W42" s="529"/>
      <c r="X42" s="518"/>
      <c r="Y42" s="529"/>
      <c r="Z42" s="518"/>
      <c r="AA42" s="529"/>
      <c r="AB42" s="518"/>
      <c r="AC42" s="529"/>
      <c r="AD42" s="518"/>
      <c r="AE42" s="529"/>
      <c r="AF42" s="518"/>
      <c r="AG42" s="529"/>
      <c r="AH42" s="518"/>
      <c r="AI42" s="529"/>
      <c r="AJ42" s="518"/>
      <c r="AK42" s="529"/>
      <c r="AL42" s="518"/>
      <c r="AM42" s="529"/>
      <c r="AN42" s="518"/>
      <c r="AO42" s="529"/>
      <c r="AP42" s="518"/>
    </row>
    <row r="43" spans="1:42" ht="16.5" thickBot="1">
      <c r="A43" s="122" t="s">
        <v>37</v>
      </c>
      <c r="B43" s="123" t="s">
        <v>57</v>
      </c>
      <c r="C43" s="435"/>
      <c r="D43" s="436"/>
      <c r="E43" s="435"/>
      <c r="F43" s="436"/>
      <c r="G43" s="530"/>
      <c r="H43" s="518"/>
      <c r="I43" s="530"/>
      <c r="J43" s="518"/>
      <c r="K43" s="530"/>
      <c r="L43" s="518"/>
      <c r="M43" s="530"/>
      <c r="N43" s="518"/>
      <c r="O43" s="529"/>
      <c r="P43" s="518"/>
      <c r="Q43" s="529"/>
      <c r="R43" s="518"/>
      <c r="S43" s="529"/>
      <c r="T43" s="518"/>
      <c r="U43" s="529"/>
      <c r="V43" s="518"/>
      <c r="W43" s="529"/>
      <c r="X43" s="518"/>
      <c r="Y43" s="529"/>
      <c r="Z43" s="518"/>
      <c r="AA43" s="529"/>
      <c r="AB43" s="518"/>
      <c r="AC43" s="529"/>
      <c r="AD43" s="518"/>
      <c r="AE43" s="529"/>
      <c r="AF43" s="518"/>
      <c r="AG43" s="529"/>
      <c r="AH43" s="518"/>
      <c r="AI43" s="529"/>
      <c r="AJ43" s="518"/>
      <c r="AK43" s="529"/>
      <c r="AL43" s="518"/>
      <c r="AM43" s="529"/>
      <c r="AN43" s="518"/>
      <c r="AO43" s="529"/>
      <c r="AP43" s="518"/>
    </row>
    <row r="44" spans="1:42">
      <c r="A44" s="122" t="s">
        <v>68</v>
      </c>
      <c r="B44" s="123" t="s">
        <v>57</v>
      </c>
      <c r="C44" s="516">
        <v>1014683.27</v>
      </c>
      <c r="D44" s="434">
        <v>0.98</v>
      </c>
      <c r="E44" s="516">
        <v>1013210.21</v>
      </c>
      <c r="F44" s="434">
        <v>0.98</v>
      </c>
      <c r="G44" s="540">
        <v>1011737.1599999999</v>
      </c>
      <c r="H44" s="528">
        <v>0.99</v>
      </c>
      <c r="I44" s="540">
        <v>1010264.11</v>
      </c>
      <c r="J44" s="528">
        <v>0.98</v>
      </c>
      <c r="K44" s="540">
        <v>1008791.05</v>
      </c>
      <c r="L44" s="528">
        <v>0.98</v>
      </c>
      <c r="M44" s="540">
        <v>1004371.91</v>
      </c>
      <c r="N44" s="528">
        <v>0.97</v>
      </c>
      <c r="O44" s="529">
        <v>1002898.8400000001</v>
      </c>
      <c r="P44" s="528">
        <v>0.97</v>
      </c>
      <c r="Q44" s="529">
        <v>1001425.7799999999</v>
      </c>
      <c r="R44" s="528">
        <v>0.96</v>
      </c>
      <c r="S44" s="529">
        <v>999952.74000000011</v>
      </c>
      <c r="T44" s="528">
        <v>0.96</v>
      </c>
      <c r="U44" s="529">
        <v>998479.69</v>
      </c>
      <c r="V44" s="528">
        <v>0.96</v>
      </c>
      <c r="W44" s="529">
        <v>994060.52</v>
      </c>
      <c r="X44" s="528">
        <v>0.95</v>
      </c>
      <c r="Y44" s="529">
        <v>992587.48000000021</v>
      </c>
      <c r="Z44" s="528">
        <v>0.96</v>
      </c>
      <c r="AA44" s="529">
        <v>991114.41999999993</v>
      </c>
      <c r="AB44" s="528">
        <v>0.96</v>
      </c>
      <c r="AC44" s="529">
        <v>989641.36</v>
      </c>
      <c r="AD44" s="528">
        <v>0.96</v>
      </c>
      <c r="AE44" s="529">
        <v>988168.30999999982</v>
      </c>
      <c r="AF44" s="528">
        <v>0.95</v>
      </c>
      <c r="AG44" s="529">
        <v>983749.16</v>
      </c>
      <c r="AH44" s="528">
        <v>0.95</v>
      </c>
      <c r="AI44" s="529">
        <v>982276.1100000001</v>
      </c>
      <c r="AJ44" s="528">
        <v>0.95</v>
      </c>
      <c r="AK44" s="529">
        <v>980803.04999999993</v>
      </c>
      <c r="AL44" s="528">
        <v>0.95</v>
      </c>
      <c r="AM44" s="529">
        <v>979329.99000000011</v>
      </c>
      <c r="AN44" s="528">
        <v>0.95</v>
      </c>
      <c r="AO44" s="411">
        <v>977856.94000000006</v>
      </c>
      <c r="AP44" s="528">
        <v>0.95</v>
      </c>
    </row>
    <row r="45" spans="1:42">
      <c r="A45" s="129" t="s">
        <v>69</v>
      </c>
      <c r="B45" s="123" t="s">
        <v>57</v>
      </c>
      <c r="C45" s="517"/>
      <c r="D45" s="433"/>
      <c r="E45" s="517"/>
      <c r="F45" s="433"/>
      <c r="G45" s="438"/>
      <c r="H45" s="526"/>
      <c r="I45" s="438"/>
      <c r="J45" s="526"/>
      <c r="K45" s="438"/>
      <c r="L45" s="526"/>
      <c r="M45" s="438"/>
      <c r="N45" s="526"/>
      <c r="O45" s="438"/>
      <c r="P45" s="526"/>
      <c r="Q45" s="438"/>
      <c r="R45" s="526"/>
      <c r="S45" s="438"/>
      <c r="T45" s="526"/>
      <c r="U45" s="438"/>
      <c r="V45" s="526"/>
      <c r="W45" s="438"/>
      <c r="X45" s="526"/>
      <c r="Y45" s="438"/>
      <c r="Z45" s="526"/>
      <c r="AA45" s="438"/>
      <c r="AB45" s="526"/>
      <c r="AC45" s="438"/>
      <c r="AD45" s="526"/>
      <c r="AE45" s="438"/>
      <c r="AF45" s="526"/>
      <c r="AG45" s="438"/>
      <c r="AH45" s="526"/>
      <c r="AI45" s="438"/>
      <c r="AJ45" s="526"/>
      <c r="AK45" s="438"/>
      <c r="AL45" s="526"/>
      <c r="AM45" s="438"/>
      <c r="AN45" s="526"/>
      <c r="AO45" s="438"/>
      <c r="AP45" s="526"/>
    </row>
    <row r="46" spans="1:42" ht="48" thickBot="1">
      <c r="A46" s="122" t="s">
        <v>70</v>
      </c>
      <c r="B46" s="123" t="s">
        <v>76</v>
      </c>
      <c r="C46" s="512">
        <v>2208900</v>
      </c>
      <c r="D46" s="439">
        <v>2.13</v>
      </c>
      <c r="E46" s="512">
        <v>2208900</v>
      </c>
      <c r="F46" s="439">
        <v>2.13</v>
      </c>
      <c r="G46" s="537">
        <v>2208900</v>
      </c>
      <c r="H46" s="531">
        <v>2.14</v>
      </c>
      <c r="I46" s="537">
        <v>2208900</v>
      </c>
      <c r="J46" s="531">
        <v>2.14</v>
      </c>
      <c r="K46" s="537">
        <v>2208900</v>
      </c>
      <c r="L46" s="531">
        <v>2.14</v>
      </c>
      <c r="M46" s="537">
        <v>2208900</v>
      </c>
      <c r="N46" s="531">
        <v>2.14</v>
      </c>
      <c r="O46" s="537">
        <v>2208900</v>
      </c>
      <c r="P46" s="531">
        <v>2.14</v>
      </c>
      <c r="Q46" s="537">
        <v>2208900</v>
      </c>
      <c r="R46" s="531">
        <v>2.14</v>
      </c>
      <c r="S46" s="537">
        <v>2208900</v>
      </c>
      <c r="T46" s="531">
        <v>2.14</v>
      </c>
      <c r="U46" s="537">
        <v>2208900</v>
      </c>
      <c r="V46" s="531">
        <v>2.14</v>
      </c>
      <c r="W46" s="537">
        <v>2208900</v>
      </c>
      <c r="X46" s="531">
        <v>2.14</v>
      </c>
      <c r="Y46" s="537">
        <v>2208900</v>
      </c>
      <c r="Z46" s="531">
        <v>2.14</v>
      </c>
      <c r="AA46" s="537">
        <v>2208900</v>
      </c>
      <c r="AB46" s="531">
        <v>2.14</v>
      </c>
      <c r="AC46" s="537">
        <v>2208900</v>
      </c>
      <c r="AD46" s="531">
        <v>2.14</v>
      </c>
      <c r="AE46" s="537">
        <v>2208900</v>
      </c>
      <c r="AF46" s="531">
        <v>2.13</v>
      </c>
      <c r="AG46" s="537">
        <v>2208900</v>
      </c>
      <c r="AH46" s="531">
        <v>2.13</v>
      </c>
      <c r="AI46" s="537">
        <v>2208900</v>
      </c>
      <c r="AJ46" s="531">
        <v>2.13</v>
      </c>
      <c r="AK46" s="537">
        <v>2208900</v>
      </c>
      <c r="AL46" s="531">
        <v>2.13</v>
      </c>
      <c r="AM46" s="537">
        <v>2208900</v>
      </c>
      <c r="AN46" s="531">
        <v>2.14</v>
      </c>
      <c r="AO46" s="537">
        <v>2208900</v>
      </c>
      <c r="AP46" s="531">
        <v>2.14</v>
      </c>
    </row>
    <row r="47" spans="1:42" ht="47.25">
      <c r="A47" s="122" t="s">
        <v>71</v>
      </c>
      <c r="B47" s="123" t="s">
        <v>57</v>
      </c>
      <c r="C47" s="435"/>
      <c r="D47" s="436"/>
      <c r="E47" s="435"/>
      <c r="F47" s="436"/>
      <c r="G47" s="530"/>
      <c r="H47" s="518"/>
      <c r="I47" s="530"/>
      <c r="J47" s="518"/>
      <c r="K47" s="530"/>
      <c r="L47" s="518"/>
      <c r="M47" s="530"/>
      <c r="N47" s="518"/>
      <c r="O47" s="530"/>
      <c r="P47" s="518"/>
      <c r="Q47" s="530"/>
      <c r="R47" s="518"/>
      <c r="S47" s="530"/>
      <c r="T47" s="518"/>
      <c r="U47" s="530"/>
      <c r="V47" s="518"/>
      <c r="W47" s="530"/>
      <c r="X47" s="518"/>
      <c r="Y47" s="530"/>
      <c r="Z47" s="518"/>
      <c r="AA47" s="530"/>
      <c r="AB47" s="518"/>
      <c r="AC47" s="530"/>
      <c r="AD47" s="518"/>
      <c r="AE47" s="530"/>
      <c r="AF47" s="518"/>
      <c r="AG47" s="530"/>
      <c r="AH47" s="518"/>
      <c r="AI47" s="530"/>
      <c r="AJ47" s="518"/>
      <c r="AK47" s="530"/>
      <c r="AL47" s="518"/>
      <c r="AM47" s="530"/>
      <c r="AN47" s="518"/>
      <c r="AO47" s="530"/>
      <c r="AP47" s="518"/>
    </row>
    <row r="48" spans="1:42" ht="16.5" thickBot="1">
      <c r="A48" s="122" t="s">
        <v>49</v>
      </c>
      <c r="B48" s="123" t="s">
        <v>50</v>
      </c>
      <c r="C48" s="510">
        <v>17907.36</v>
      </c>
      <c r="D48" s="439">
        <v>0.02</v>
      </c>
      <c r="E48" s="510">
        <v>17907.36</v>
      </c>
      <c r="F48" s="439">
        <v>0.02</v>
      </c>
      <c r="G48" s="535">
        <v>18866.72</v>
      </c>
      <c r="H48" s="531">
        <v>0.02</v>
      </c>
      <c r="I48" s="535">
        <v>18866.72</v>
      </c>
      <c r="J48" s="531">
        <v>0.02</v>
      </c>
      <c r="K48" s="473">
        <v>20227.830000000002</v>
      </c>
      <c r="L48" s="531">
        <v>0.02</v>
      </c>
      <c r="M48" s="473">
        <v>20227.830000000002</v>
      </c>
      <c r="N48" s="531">
        <v>0.02</v>
      </c>
      <c r="O48" s="473">
        <v>20227.830000000002</v>
      </c>
      <c r="P48" s="531">
        <v>0.02</v>
      </c>
      <c r="Q48" s="476">
        <v>21493.96</v>
      </c>
      <c r="R48" s="531">
        <v>0.02</v>
      </c>
      <c r="S48" s="476">
        <v>21493.96</v>
      </c>
      <c r="T48" s="531">
        <v>0.02</v>
      </c>
      <c r="U48" s="473">
        <v>17784.66</v>
      </c>
      <c r="V48" s="531">
        <v>0.02</v>
      </c>
      <c r="W48" s="473">
        <v>17784.66</v>
      </c>
      <c r="X48" s="531">
        <v>0.02</v>
      </c>
      <c r="Y48" s="473">
        <v>17784.66</v>
      </c>
      <c r="Z48" s="531">
        <v>0.02</v>
      </c>
      <c r="AA48" s="473">
        <v>17784.66</v>
      </c>
      <c r="AB48" s="531">
        <v>0.02</v>
      </c>
      <c r="AC48" s="473">
        <v>17784.66</v>
      </c>
      <c r="AD48" s="531">
        <v>0.02</v>
      </c>
      <c r="AE48" s="473">
        <v>17784.66</v>
      </c>
      <c r="AF48" s="531">
        <v>0.02</v>
      </c>
      <c r="AG48" s="473">
        <v>17784.66</v>
      </c>
      <c r="AH48" s="531">
        <v>0.02</v>
      </c>
      <c r="AI48" s="549">
        <v>27349.58</v>
      </c>
      <c r="AJ48" s="531">
        <v>0.03</v>
      </c>
      <c r="AK48" s="549">
        <v>27349.58</v>
      </c>
      <c r="AL48" s="531">
        <v>0.03</v>
      </c>
      <c r="AM48" s="549">
        <v>27349.58</v>
      </c>
      <c r="AN48" s="531">
        <v>0.03</v>
      </c>
      <c r="AO48" s="550">
        <v>24274.11</v>
      </c>
      <c r="AP48" s="531">
        <v>0.02</v>
      </c>
    </row>
    <row r="49" spans="1:42" ht="48" thickBot="1">
      <c r="A49" s="122" t="s">
        <v>56</v>
      </c>
      <c r="B49" s="123" t="s">
        <v>77</v>
      </c>
      <c r="C49" s="436">
        <v>0</v>
      </c>
      <c r="D49" s="436">
        <v>0</v>
      </c>
      <c r="E49" s="436">
        <v>0</v>
      </c>
      <c r="F49" s="436">
        <v>0</v>
      </c>
      <c r="G49" s="518">
        <v>0</v>
      </c>
      <c r="H49" s="518">
        <v>0</v>
      </c>
      <c r="I49" s="518">
        <v>0</v>
      </c>
      <c r="J49" s="518">
        <v>0</v>
      </c>
      <c r="K49" s="518">
        <v>0</v>
      </c>
      <c r="L49" s="518">
        <v>0</v>
      </c>
      <c r="M49" s="518">
        <v>0</v>
      </c>
      <c r="N49" s="518">
        <v>0</v>
      </c>
      <c r="O49" s="518">
        <v>0</v>
      </c>
      <c r="P49" s="518">
        <v>0</v>
      </c>
      <c r="Q49" s="476">
        <v>10227.56</v>
      </c>
      <c r="R49" s="518">
        <v>0</v>
      </c>
      <c r="S49" s="476">
        <v>10227.56</v>
      </c>
      <c r="T49" s="518">
        <v>0</v>
      </c>
      <c r="U49" s="476">
        <v>10227.56</v>
      </c>
      <c r="V49" s="518">
        <v>0.01</v>
      </c>
      <c r="W49" s="476">
        <v>10227.56</v>
      </c>
      <c r="X49" s="518">
        <v>0.01</v>
      </c>
      <c r="Y49" s="476">
        <v>10227.56</v>
      </c>
      <c r="Z49" s="518">
        <v>0.01</v>
      </c>
      <c r="AA49" s="476">
        <v>10227.56</v>
      </c>
      <c r="AB49" s="518">
        <v>0.01</v>
      </c>
      <c r="AC49" s="476">
        <v>10227.56</v>
      </c>
      <c r="AD49" s="518">
        <v>0.01</v>
      </c>
      <c r="AE49" s="476">
        <v>10227.56</v>
      </c>
      <c r="AF49" s="518">
        <v>0.01</v>
      </c>
      <c r="AG49" s="476">
        <v>10227.56</v>
      </c>
      <c r="AH49" s="518">
        <v>0.01</v>
      </c>
      <c r="AI49" s="476">
        <v>10227.56</v>
      </c>
      <c r="AJ49" s="518">
        <v>0.01</v>
      </c>
      <c r="AK49" s="476">
        <v>10227.56</v>
      </c>
      <c r="AL49" s="518">
        <v>0.01</v>
      </c>
      <c r="AM49" s="476">
        <v>10227.56</v>
      </c>
      <c r="AN49" s="518">
        <v>0.01</v>
      </c>
      <c r="AO49" s="536">
        <v>2199.64</v>
      </c>
      <c r="AP49" s="518">
        <v>0</v>
      </c>
    </row>
    <row r="50" spans="1:42" ht="79.5" thickBot="1">
      <c r="A50" s="132" t="s">
        <v>72</v>
      </c>
      <c r="B50" s="123" t="s">
        <v>78</v>
      </c>
      <c r="C50" s="511">
        <v>1872.59</v>
      </c>
      <c r="D50" s="436">
        <v>0</v>
      </c>
      <c r="E50" s="511">
        <v>1872.59</v>
      </c>
      <c r="F50" s="436">
        <v>0</v>
      </c>
      <c r="G50" s="536">
        <v>8552.74</v>
      </c>
      <c r="H50" s="518">
        <v>0.01</v>
      </c>
      <c r="I50" s="536">
        <v>8552.74</v>
      </c>
      <c r="J50" s="518">
        <v>0.01</v>
      </c>
      <c r="K50" s="536">
        <v>8552.74</v>
      </c>
      <c r="L50" s="518">
        <v>0.01</v>
      </c>
      <c r="M50" s="536">
        <v>8552.74</v>
      </c>
      <c r="N50" s="518">
        <v>0.01</v>
      </c>
      <c r="O50" s="536">
        <v>8552.74</v>
      </c>
      <c r="P50" s="518">
        <v>0.01</v>
      </c>
      <c r="Q50" s="536">
        <v>8552.74</v>
      </c>
      <c r="R50" s="518">
        <v>0.01</v>
      </c>
      <c r="S50" s="536">
        <v>8552.74</v>
      </c>
      <c r="T50" s="518">
        <v>0.01</v>
      </c>
      <c r="U50" s="536">
        <v>8552.74</v>
      </c>
      <c r="V50" s="518">
        <v>0.01</v>
      </c>
      <c r="W50" s="536">
        <v>8552.74</v>
      </c>
      <c r="X50" s="518">
        <v>0.01</v>
      </c>
      <c r="Y50" s="536">
        <v>8552.74</v>
      </c>
      <c r="Z50" s="518">
        <v>0.01</v>
      </c>
      <c r="AA50" s="536">
        <v>8552.74</v>
      </c>
      <c r="AB50" s="518">
        <v>0.01</v>
      </c>
      <c r="AC50" s="536">
        <v>8552.74</v>
      </c>
      <c r="AD50" s="518">
        <v>0.01</v>
      </c>
      <c r="AE50" s="536">
        <v>8552.74</v>
      </c>
      <c r="AF50" s="518">
        <v>0.01</v>
      </c>
      <c r="AG50" s="536">
        <v>8552.74</v>
      </c>
      <c r="AH50" s="518">
        <v>0.01</v>
      </c>
      <c r="AI50" s="536">
        <v>8552.74</v>
      </c>
      <c r="AJ50" s="518">
        <v>0.01</v>
      </c>
      <c r="AK50" s="536">
        <v>8552.74</v>
      </c>
      <c r="AL50" s="518">
        <v>0.01</v>
      </c>
      <c r="AM50" s="536">
        <v>8552.74</v>
      </c>
      <c r="AN50" s="518">
        <v>0.01</v>
      </c>
      <c r="AO50" s="536">
        <v>6068.64</v>
      </c>
      <c r="AP50" s="518">
        <v>0.01</v>
      </c>
    </row>
    <row r="51" spans="1:42" ht="32.25" thickBot="1">
      <c r="A51" s="132" t="s">
        <v>51</v>
      </c>
      <c r="B51" s="123" t="s">
        <v>52</v>
      </c>
      <c r="C51" s="513">
        <v>44694.97</v>
      </c>
      <c r="D51" s="513">
        <v>0.04</v>
      </c>
      <c r="E51" s="513">
        <v>44694.97</v>
      </c>
      <c r="F51" s="513">
        <v>0.04</v>
      </c>
      <c r="G51" s="457">
        <v>44694.97</v>
      </c>
      <c r="H51" s="457">
        <v>0.04</v>
      </c>
      <c r="I51" s="476">
        <v>14126.57</v>
      </c>
      <c r="J51" s="457">
        <v>0.01</v>
      </c>
      <c r="K51" s="476">
        <v>14126.57</v>
      </c>
      <c r="L51" s="457">
        <v>0.01</v>
      </c>
      <c r="M51" s="476">
        <v>14126.57</v>
      </c>
      <c r="N51" s="457">
        <v>0.01</v>
      </c>
      <c r="O51" s="476">
        <v>14126.57</v>
      </c>
      <c r="P51" s="457">
        <v>0.01</v>
      </c>
      <c r="Q51" s="476">
        <v>14126.57</v>
      </c>
      <c r="R51" s="457">
        <v>0.02</v>
      </c>
      <c r="S51" s="476">
        <v>14126.57</v>
      </c>
      <c r="T51" s="457">
        <v>0.02</v>
      </c>
      <c r="U51" s="476">
        <v>0.1</v>
      </c>
      <c r="V51" s="457">
        <v>0</v>
      </c>
      <c r="W51" s="476">
        <v>0.1</v>
      </c>
      <c r="X51" s="457">
        <v>0</v>
      </c>
      <c r="Y51" s="476">
        <v>0.1</v>
      </c>
      <c r="Z51" s="457">
        <v>0</v>
      </c>
      <c r="AA51" s="476">
        <v>0.1</v>
      </c>
      <c r="AB51" s="457">
        <v>0</v>
      </c>
      <c r="AC51" s="476">
        <v>0.1</v>
      </c>
      <c r="AD51" s="457">
        <v>0</v>
      </c>
      <c r="AE51" s="476">
        <v>0.1</v>
      </c>
      <c r="AF51" s="457">
        <v>0</v>
      </c>
      <c r="AG51" s="476">
        <v>0.1</v>
      </c>
      <c r="AH51" s="457">
        <v>0</v>
      </c>
      <c r="AI51" s="476">
        <v>0.1</v>
      </c>
      <c r="AJ51" s="457">
        <v>0</v>
      </c>
      <c r="AK51" s="476">
        <v>0.1</v>
      </c>
      <c r="AL51" s="457">
        <v>0</v>
      </c>
      <c r="AM51" s="476">
        <v>0.1</v>
      </c>
      <c r="AN51" s="457">
        <v>0</v>
      </c>
      <c r="AO51" s="551">
        <v>30810.11</v>
      </c>
      <c r="AP51" s="513">
        <v>0.03</v>
      </c>
    </row>
    <row r="52" spans="1:42" thickBot="1">
      <c r="A52" s="1049" t="s">
        <v>127</v>
      </c>
      <c r="B52" s="1050"/>
      <c r="C52" s="513">
        <v>27415.449999999997</v>
      </c>
      <c r="D52" s="457">
        <v>0.03</v>
      </c>
      <c r="E52" s="513">
        <v>27415.449999999997</v>
      </c>
      <c r="F52" s="457">
        <v>0.03</v>
      </c>
      <c r="G52" s="457">
        <v>27415.449999999997</v>
      </c>
      <c r="H52" s="457">
        <v>0.03</v>
      </c>
      <c r="I52" s="457">
        <v>27415.449999999997</v>
      </c>
      <c r="J52" s="457">
        <v>0.03</v>
      </c>
      <c r="K52" s="457">
        <v>27415.449999999997</v>
      </c>
      <c r="L52" s="457">
        <v>0.03</v>
      </c>
      <c r="M52" s="457">
        <v>27415.449999999997</v>
      </c>
      <c r="N52" s="457">
        <v>0.03</v>
      </c>
      <c r="O52" s="457">
        <v>27415.449999999997</v>
      </c>
      <c r="P52" s="457">
        <v>0.03</v>
      </c>
      <c r="Q52" s="457">
        <v>27415.449999999997</v>
      </c>
      <c r="R52" s="457">
        <v>0.03</v>
      </c>
      <c r="S52" s="457">
        <v>27415.449999999997</v>
      </c>
      <c r="T52" s="457">
        <v>0.03</v>
      </c>
      <c r="U52" s="457">
        <v>27415.449999999997</v>
      </c>
      <c r="V52" s="457">
        <v>0.03</v>
      </c>
      <c r="W52" s="457">
        <v>27415.449999999997</v>
      </c>
      <c r="X52" s="457">
        <v>0.03</v>
      </c>
      <c r="Y52" s="457">
        <v>27415.449999999997</v>
      </c>
      <c r="Z52" s="457">
        <v>0.03</v>
      </c>
      <c r="AA52" s="457"/>
      <c r="AB52" s="457"/>
      <c r="AC52" s="457"/>
      <c r="AD52" s="457"/>
      <c r="AE52" s="457"/>
      <c r="AF52" s="457"/>
      <c r="AG52" s="457"/>
      <c r="AH52" s="457"/>
      <c r="AI52" s="457"/>
      <c r="AJ52" s="457"/>
      <c r="AK52" s="457"/>
      <c r="AL52" s="457"/>
      <c r="AM52" s="457"/>
      <c r="AN52" s="457"/>
      <c r="AO52" s="457">
        <v>44414.5</v>
      </c>
      <c r="AP52" s="513">
        <v>0.04</v>
      </c>
    </row>
    <row r="53" spans="1:42" ht="32.25" thickBot="1">
      <c r="A53" s="133" t="s">
        <v>73</v>
      </c>
      <c r="B53" s="134" t="s">
        <v>53</v>
      </c>
      <c r="C53" s="513">
        <v>97400.25</v>
      </c>
      <c r="D53" s="513">
        <v>0.1</v>
      </c>
      <c r="E53" s="513">
        <v>97400.25</v>
      </c>
      <c r="F53" s="513">
        <v>0.1</v>
      </c>
      <c r="G53" s="457">
        <v>97400.25</v>
      </c>
      <c r="H53" s="457">
        <v>0.1</v>
      </c>
      <c r="I53" s="457">
        <v>97400.25</v>
      </c>
      <c r="J53" s="457">
        <v>0.1</v>
      </c>
      <c r="K53" s="457">
        <v>97400.25</v>
      </c>
      <c r="L53" s="457">
        <v>0.1</v>
      </c>
      <c r="M53" s="457">
        <v>97400.25</v>
      </c>
      <c r="N53" s="457">
        <v>0.1</v>
      </c>
      <c r="O53" s="457">
        <v>97400.25</v>
      </c>
      <c r="P53" s="457">
        <v>0.1</v>
      </c>
      <c r="Q53" s="457">
        <v>97400.25</v>
      </c>
      <c r="R53" s="457">
        <v>0.1</v>
      </c>
      <c r="S53" s="457">
        <v>97400.25</v>
      </c>
      <c r="T53" s="457">
        <v>0.1</v>
      </c>
      <c r="U53" s="457">
        <v>97400.25</v>
      </c>
      <c r="V53" s="457">
        <v>0.1</v>
      </c>
      <c r="W53" s="457">
        <v>97400.25</v>
      </c>
      <c r="X53" s="457">
        <v>0.1</v>
      </c>
      <c r="Y53" s="457">
        <v>97400.25</v>
      </c>
      <c r="Z53" s="457">
        <v>0.1</v>
      </c>
      <c r="AA53" s="457"/>
      <c r="AB53" s="457"/>
      <c r="AC53" s="457"/>
      <c r="AD53" s="457"/>
      <c r="AE53" s="457"/>
      <c r="AF53" s="457"/>
      <c r="AG53" s="457"/>
      <c r="AH53" s="457"/>
      <c r="AI53" s="457"/>
      <c r="AJ53" s="457"/>
      <c r="AK53" s="457"/>
      <c r="AL53" s="457"/>
      <c r="AM53" s="457"/>
      <c r="AN53" s="457"/>
      <c r="AO53" s="457">
        <v>81330.510000000009</v>
      </c>
      <c r="AP53" s="513">
        <v>0.08</v>
      </c>
    </row>
    <row r="54" spans="1:42" ht="32.25" thickBot="1">
      <c r="A54" s="122" t="s">
        <v>54</v>
      </c>
      <c r="B54" s="123" t="s">
        <v>79</v>
      </c>
      <c r="C54" s="514">
        <v>6309.33</v>
      </c>
      <c r="D54" s="518">
        <v>0.01</v>
      </c>
      <c r="E54" s="514">
        <v>6309.33</v>
      </c>
      <c r="F54" s="518">
        <v>0.01</v>
      </c>
      <c r="G54" s="538">
        <v>6309.33</v>
      </c>
      <c r="H54" s="436">
        <v>0.01</v>
      </c>
      <c r="I54" s="538">
        <v>6309.33</v>
      </c>
      <c r="J54" s="436">
        <v>0.01</v>
      </c>
      <c r="K54" s="476">
        <v>3215.95</v>
      </c>
      <c r="L54" s="436">
        <v>0</v>
      </c>
      <c r="M54" s="476">
        <v>3215.95</v>
      </c>
      <c r="N54" s="436">
        <v>0</v>
      </c>
      <c r="O54" s="476">
        <v>3215.95</v>
      </c>
      <c r="P54" s="436">
        <v>0</v>
      </c>
      <c r="Q54" s="476">
        <v>3215.95</v>
      </c>
      <c r="R54" s="436">
        <v>0</v>
      </c>
      <c r="S54" s="476">
        <v>3215.95</v>
      </c>
      <c r="T54" s="436">
        <v>0</v>
      </c>
      <c r="U54" s="476">
        <v>3215.95</v>
      </c>
      <c r="V54" s="436">
        <v>0</v>
      </c>
      <c r="W54" s="476">
        <v>3215.95</v>
      </c>
      <c r="X54" s="436">
        <v>0</v>
      </c>
      <c r="Y54" s="476">
        <v>3215.95</v>
      </c>
      <c r="Z54" s="436">
        <v>0</v>
      </c>
      <c r="AA54" s="476">
        <v>3215.95</v>
      </c>
      <c r="AB54" s="436">
        <v>0</v>
      </c>
      <c r="AC54" s="476">
        <v>3215.95</v>
      </c>
      <c r="AD54" s="436">
        <v>0</v>
      </c>
      <c r="AE54" s="476">
        <v>3215.95</v>
      </c>
      <c r="AF54" s="436">
        <v>0</v>
      </c>
      <c r="AG54" s="476">
        <v>3215.95</v>
      </c>
      <c r="AH54" s="436">
        <v>0</v>
      </c>
      <c r="AI54" s="476">
        <v>3215.95</v>
      </c>
      <c r="AJ54" s="436">
        <v>0</v>
      </c>
      <c r="AK54" s="476">
        <v>3215.95</v>
      </c>
      <c r="AL54" s="436">
        <v>0</v>
      </c>
      <c r="AM54" s="476">
        <v>3215.95</v>
      </c>
      <c r="AN54" s="436">
        <v>0</v>
      </c>
      <c r="AO54" s="551">
        <v>7006</v>
      </c>
      <c r="AP54" s="518">
        <v>0</v>
      </c>
    </row>
    <row r="55" spans="1:42" ht="32.25" thickBot="1">
      <c r="A55" s="135" t="s">
        <v>55</v>
      </c>
      <c r="B55" s="223" t="s">
        <v>80</v>
      </c>
      <c r="C55" s="514">
        <v>3520.74</v>
      </c>
      <c r="D55" s="518"/>
      <c r="E55" s="514">
        <v>3520.74</v>
      </c>
      <c r="F55" s="518"/>
      <c r="G55" s="538">
        <v>3520.74</v>
      </c>
      <c r="H55" s="436"/>
      <c r="I55" s="538">
        <v>3520.74</v>
      </c>
      <c r="J55" s="436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6"/>
      <c r="AL55" s="436"/>
      <c r="AM55" s="436"/>
      <c r="AN55" s="436"/>
      <c r="AO55" s="536">
        <v>2323.12</v>
      </c>
      <c r="AP55" s="518"/>
    </row>
    <row r="56" spans="1:42" ht="16.5" thickBot="1">
      <c r="A56" s="221" t="s">
        <v>99</v>
      </c>
      <c r="B56" s="222"/>
      <c r="C56" s="436"/>
      <c r="D56" s="436"/>
      <c r="E56" s="436"/>
      <c r="F56" s="436"/>
      <c r="G56" s="518"/>
      <c r="H56" s="518"/>
      <c r="I56" s="518"/>
      <c r="J56" s="518"/>
      <c r="K56" s="518"/>
      <c r="L56" s="518"/>
      <c r="M56" s="518"/>
      <c r="N56" s="518"/>
      <c r="O56" s="518"/>
      <c r="P56" s="518"/>
      <c r="Q56" s="518"/>
      <c r="R56" s="518"/>
      <c r="S56" s="518"/>
      <c r="T56" s="518"/>
      <c r="U56" s="518"/>
      <c r="V56" s="518"/>
      <c r="W56" s="518"/>
      <c r="X56" s="518"/>
      <c r="Y56" s="475">
        <v>148832.1</v>
      </c>
      <c r="Z56" s="518">
        <v>0.14000000000000001</v>
      </c>
      <c r="AA56" s="475">
        <v>148832.1</v>
      </c>
      <c r="AB56" s="518">
        <v>0.14000000000000001</v>
      </c>
      <c r="AC56" s="475">
        <v>148832.1</v>
      </c>
      <c r="AD56" s="518">
        <v>0.14000000000000001</v>
      </c>
      <c r="AE56" s="436"/>
      <c r="AF56" s="436"/>
      <c r="AG56" s="436"/>
      <c r="AH56" s="436"/>
      <c r="AI56" s="436"/>
      <c r="AJ56" s="436"/>
      <c r="AK56" s="436"/>
      <c r="AL56" s="436"/>
      <c r="AM56" s="436"/>
      <c r="AN56" s="436"/>
      <c r="AO56" s="436"/>
      <c r="AP56" s="436"/>
    </row>
    <row r="57" spans="1:42" ht="15">
      <c r="A57" s="1045" t="s">
        <v>103</v>
      </c>
      <c r="B57" s="1046" t="s">
        <v>103</v>
      </c>
      <c r="C57" s="521">
        <v>7728.29</v>
      </c>
      <c r="D57">
        <v>0.01</v>
      </c>
      <c r="E57" s="524">
        <v>10304.379999999999</v>
      </c>
      <c r="F57">
        <v>0.01</v>
      </c>
      <c r="G57" s="541">
        <v>12880.48</v>
      </c>
      <c r="H57" s="532">
        <v>0.01</v>
      </c>
      <c r="I57" s="524">
        <v>15456.58</v>
      </c>
      <c r="J57" s="532">
        <v>0.01</v>
      </c>
      <c r="K57" s="524">
        <v>18032.669999999998</v>
      </c>
      <c r="L57" s="532">
        <v>0.02</v>
      </c>
      <c r="M57" s="524">
        <v>25760.959999999999</v>
      </c>
      <c r="N57" s="532">
        <v>0.02</v>
      </c>
      <c r="O57" s="524">
        <v>28337.05</v>
      </c>
      <c r="P57" s="532">
        <v>0.03</v>
      </c>
      <c r="Q57" s="524">
        <v>30913.15</v>
      </c>
      <c r="R57" s="532">
        <v>0.03</v>
      </c>
      <c r="S57" s="524">
        <v>33489.25</v>
      </c>
      <c r="T57" s="532">
        <v>0.03</v>
      </c>
      <c r="U57" s="524">
        <v>36065.339999999997</v>
      </c>
      <c r="V57" s="532">
        <v>0.03</v>
      </c>
      <c r="W57" s="524">
        <v>43793.63</v>
      </c>
      <c r="X57" s="532">
        <v>0.04</v>
      </c>
      <c r="Y57" s="524">
        <v>46369.73</v>
      </c>
      <c r="Z57" s="532">
        <v>0.04</v>
      </c>
      <c r="AA57" s="524">
        <v>48945.82</v>
      </c>
      <c r="AB57" s="532">
        <v>0.05</v>
      </c>
      <c r="AC57" s="524">
        <v>51521.919999999998</v>
      </c>
      <c r="AD57" s="532">
        <v>0.05</v>
      </c>
      <c r="AE57" s="524">
        <v>54098.01</v>
      </c>
      <c r="AF57" s="532">
        <v>0.05</v>
      </c>
      <c r="AG57" s="524">
        <v>61826.3</v>
      </c>
      <c r="AH57" s="532">
        <v>0.06</v>
      </c>
      <c r="AI57" s="524">
        <v>64402.400000000001</v>
      </c>
      <c r="AJ57" s="532">
        <v>0.06</v>
      </c>
      <c r="AK57" s="524">
        <v>66978.490000000005</v>
      </c>
      <c r="AL57" s="532">
        <v>0.06</v>
      </c>
      <c r="AM57" s="524">
        <v>69554.59</v>
      </c>
      <c r="AN57" s="532">
        <v>7.0000000000000007E-2</v>
      </c>
      <c r="AO57" s="541">
        <v>72130.679999999993</v>
      </c>
      <c r="AP57" s="532">
        <v>7.0000000000000007E-2</v>
      </c>
    </row>
    <row r="58" spans="1:42" ht="15">
      <c r="A58" s="1032" t="s">
        <v>39</v>
      </c>
      <c r="B58" s="1044" t="s">
        <v>39</v>
      </c>
      <c r="C58" s="511">
        <v>3925.48</v>
      </c>
      <c r="D58">
        <v>0</v>
      </c>
      <c r="E58" s="473">
        <v>4579.7299999999996</v>
      </c>
      <c r="F58">
        <v>0</v>
      </c>
      <c r="G58" s="536">
        <v>5233.97</v>
      </c>
      <c r="H58" s="532">
        <v>0.01</v>
      </c>
      <c r="I58" s="473">
        <v>5888.22</v>
      </c>
      <c r="J58" s="532">
        <v>0.01</v>
      </c>
      <c r="K58" s="473">
        <v>6542.47</v>
      </c>
      <c r="L58" s="532">
        <v>0.01</v>
      </c>
      <c r="M58" s="473">
        <v>8505.2099999999991</v>
      </c>
      <c r="N58" s="532">
        <v>0.01</v>
      </c>
      <c r="O58" s="473">
        <v>9159.4500000000007</v>
      </c>
      <c r="P58" s="532">
        <v>0.01</v>
      </c>
      <c r="Q58" s="473">
        <v>9813.7000000000007</v>
      </c>
      <c r="R58" s="532">
        <v>0.01</v>
      </c>
      <c r="S58" s="473">
        <v>10467.950000000001</v>
      </c>
      <c r="T58" s="532">
        <v>0.01</v>
      </c>
      <c r="U58" s="473">
        <v>11122.19</v>
      </c>
      <c r="V58" s="532">
        <v>0.01</v>
      </c>
      <c r="W58" s="473">
        <v>13084.93</v>
      </c>
      <c r="X58" s="532">
        <v>0.01</v>
      </c>
      <c r="Y58" s="473">
        <v>13739.18</v>
      </c>
      <c r="Z58" s="532">
        <v>0.01</v>
      </c>
      <c r="AA58" s="473">
        <v>14393.42</v>
      </c>
      <c r="AB58" s="532">
        <v>0.01</v>
      </c>
      <c r="AC58" s="473">
        <v>15047.67</v>
      </c>
      <c r="AD58" s="532">
        <v>0.01</v>
      </c>
      <c r="AE58" s="473">
        <v>15701.92</v>
      </c>
      <c r="AF58" s="532">
        <v>0.02</v>
      </c>
      <c r="AG58" s="473">
        <v>17664.66</v>
      </c>
      <c r="AH58" s="532">
        <v>0.02</v>
      </c>
      <c r="AI58" s="473">
        <v>18318.900000000001</v>
      </c>
      <c r="AJ58" s="532">
        <v>0.02</v>
      </c>
      <c r="AK58" s="473">
        <v>18973.150000000001</v>
      </c>
      <c r="AL58" s="532">
        <v>0.02</v>
      </c>
      <c r="AM58" s="473">
        <v>19627.400000000001</v>
      </c>
      <c r="AN58" s="532">
        <v>0.02</v>
      </c>
      <c r="AO58" s="536">
        <v>20281.64</v>
      </c>
      <c r="AP58" s="532">
        <v>0.02</v>
      </c>
    </row>
    <row r="59" spans="1:42" ht="15">
      <c r="A59" s="1040" t="s">
        <v>95</v>
      </c>
      <c r="B59" s="1041" t="s">
        <v>95</v>
      </c>
      <c r="C59" s="511">
        <v>19593.32</v>
      </c>
      <c r="D59">
        <v>0.02</v>
      </c>
      <c r="E59" s="473">
        <v>20377.05</v>
      </c>
      <c r="F59">
        <v>0.02</v>
      </c>
      <c r="G59" s="536">
        <v>21160.79</v>
      </c>
      <c r="H59" s="532">
        <v>0.02</v>
      </c>
      <c r="I59" s="473">
        <v>21944.52</v>
      </c>
      <c r="J59" s="532">
        <v>0.02</v>
      </c>
      <c r="K59" s="473">
        <v>22728.25</v>
      </c>
      <c r="L59" s="532">
        <v>0.02</v>
      </c>
      <c r="M59" s="473">
        <v>783.73</v>
      </c>
      <c r="N59" s="532">
        <v>0</v>
      </c>
      <c r="O59" s="473">
        <v>1567.47</v>
      </c>
      <c r="P59" s="532">
        <v>0</v>
      </c>
      <c r="Q59" s="473">
        <v>2351.1999999999998</v>
      </c>
      <c r="R59" s="532">
        <v>0</v>
      </c>
      <c r="S59" s="473">
        <v>3134.93</v>
      </c>
      <c r="T59" s="532">
        <v>0</v>
      </c>
      <c r="U59" s="473">
        <v>3918.66</v>
      </c>
      <c r="V59" s="532">
        <v>0</v>
      </c>
      <c r="W59" s="473">
        <v>6269.86</v>
      </c>
      <c r="X59" s="532">
        <v>0.01</v>
      </c>
      <c r="Y59" s="473">
        <v>7053.6</v>
      </c>
      <c r="Z59" s="532">
        <v>0.01</v>
      </c>
      <c r="AA59" s="473">
        <v>7837.33</v>
      </c>
      <c r="AB59" s="532">
        <v>0.01</v>
      </c>
      <c r="AC59" s="473">
        <v>8621.06</v>
      </c>
      <c r="AD59" s="532">
        <v>0.01</v>
      </c>
      <c r="AE59" s="473">
        <v>9404.7900000000009</v>
      </c>
      <c r="AF59" s="532">
        <v>0.01</v>
      </c>
      <c r="AG59" s="473">
        <v>11755.99</v>
      </c>
      <c r="AH59" s="532">
        <v>0.01</v>
      </c>
      <c r="AI59" s="473">
        <v>12539.73</v>
      </c>
      <c r="AJ59" s="532">
        <v>0.01</v>
      </c>
      <c r="AK59" s="473">
        <v>13323.46</v>
      </c>
      <c r="AL59" s="532">
        <v>0.01</v>
      </c>
      <c r="AM59" s="473">
        <v>14107.19</v>
      </c>
      <c r="AN59" s="532">
        <v>0.01</v>
      </c>
      <c r="AO59" s="536">
        <v>14890.92</v>
      </c>
      <c r="AP59" s="532">
        <v>0.01</v>
      </c>
    </row>
    <row r="60" spans="1:42" ht="15">
      <c r="A60" s="1040" t="s">
        <v>126</v>
      </c>
      <c r="B60" s="1041" t="s">
        <v>126</v>
      </c>
      <c r="C60" s="511">
        <v>32984.93</v>
      </c>
      <c r="D60">
        <v>0.03</v>
      </c>
      <c r="E60" s="473">
        <v>34304.33</v>
      </c>
      <c r="F60">
        <v>0.03</v>
      </c>
      <c r="G60" s="536">
        <v>35623.730000000003</v>
      </c>
      <c r="H60" s="532">
        <v>0.03</v>
      </c>
      <c r="I60" s="473">
        <v>36943.120000000003</v>
      </c>
      <c r="J60" s="532">
        <v>0.04</v>
      </c>
      <c r="K60" s="473">
        <v>38262.519999999997</v>
      </c>
      <c r="L60" s="532">
        <v>0.04</v>
      </c>
      <c r="M60" s="473">
        <v>1319.4</v>
      </c>
      <c r="N60" s="532">
        <v>0</v>
      </c>
      <c r="O60" s="473">
        <v>2638.79</v>
      </c>
      <c r="P60" s="532">
        <v>0</v>
      </c>
      <c r="Q60" s="473">
        <v>3958.19</v>
      </c>
      <c r="R60" s="532">
        <v>0</v>
      </c>
      <c r="S60" s="473">
        <v>5277.59</v>
      </c>
      <c r="T60" s="532">
        <v>0.01</v>
      </c>
      <c r="U60" s="473">
        <v>6596.99</v>
      </c>
      <c r="V60" s="532">
        <v>0.01</v>
      </c>
      <c r="W60" s="473">
        <v>10555.18</v>
      </c>
      <c r="X60" s="532">
        <v>0.01</v>
      </c>
      <c r="Y60" s="473">
        <v>11874.58</v>
      </c>
      <c r="Z60" s="532">
        <v>0.01</v>
      </c>
      <c r="AA60" s="473">
        <v>13193.97</v>
      </c>
      <c r="AB60" s="532">
        <v>0.01</v>
      </c>
      <c r="AC60" s="473">
        <v>14513.37</v>
      </c>
      <c r="AD60" s="532">
        <v>0.01</v>
      </c>
      <c r="AE60" s="473">
        <v>15832.77</v>
      </c>
      <c r="AF60" s="532">
        <v>0.02</v>
      </c>
      <c r="AG60" s="473">
        <v>19790.96</v>
      </c>
      <c r="AH60" s="532">
        <v>0.02</v>
      </c>
      <c r="AI60" s="473">
        <v>21110.36</v>
      </c>
      <c r="AJ60" s="532">
        <v>0.02</v>
      </c>
      <c r="AK60" s="473">
        <v>22429.75</v>
      </c>
      <c r="AL60" s="532">
        <v>0.02</v>
      </c>
      <c r="AM60" s="473">
        <v>23749.15</v>
      </c>
      <c r="AN60" s="532">
        <v>0.02</v>
      </c>
      <c r="AO60" s="536">
        <v>25068.55</v>
      </c>
      <c r="AP60" s="532">
        <v>0.02</v>
      </c>
    </row>
    <row r="61" spans="1:42" ht="15">
      <c r="A61" s="1040" t="s">
        <v>126</v>
      </c>
      <c r="B61" s="1041" t="s">
        <v>126</v>
      </c>
      <c r="C61" s="511">
        <v>2573.37</v>
      </c>
      <c r="D61">
        <v>0</v>
      </c>
      <c r="E61" s="473">
        <v>2895.04</v>
      </c>
      <c r="F61">
        <v>0</v>
      </c>
      <c r="G61" s="536">
        <v>3216.71</v>
      </c>
      <c r="H61" s="532">
        <v>0</v>
      </c>
      <c r="I61" s="473">
        <v>3538.38</v>
      </c>
      <c r="J61" s="532">
        <v>0</v>
      </c>
      <c r="K61" s="473">
        <v>3860.05</v>
      </c>
      <c r="L61" s="532">
        <v>0</v>
      </c>
      <c r="M61" s="473">
        <v>4825.07</v>
      </c>
      <c r="N61" s="532">
        <v>0</v>
      </c>
      <c r="O61" s="473">
        <v>5146.74</v>
      </c>
      <c r="P61" s="532">
        <v>0</v>
      </c>
      <c r="Q61" s="473">
        <v>5468.41</v>
      </c>
      <c r="R61" s="532">
        <v>0.01</v>
      </c>
      <c r="S61" s="473">
        <v>5790.08</v>
      </c>
      <c r="T61" s="532">
        <v>0.01</v>
      </c>
      <c r="U61" s="473">
        <v>6111.75</v>
      </c>
      <c r="V61" s="532">
        <v>0.01</v>
      </c>
      <c r="W61" s="473">
        <v>7076.77</v>
      </c>
      <c r="X61" s="532">
        <v>0.01</v>
      </c>
      <c r="Y61" s="473">
        <v>7398.44</v>
      </c>
      <c r="Z61" s="532">
        <v>0.01</v>
      </c>
      <c r="AA61" s="473">
        <v>7720.11</v>
      </c>
      <c r="AB61" s="532">
        <v>0.01</v>
      </c>
      <c r="AC61" s="473">
        <v>8041.78</v>
      </c>
      <c r="AD61" s="532">
        <v>0.01</v>
      </c>
      <c r="AE61" s="473">
        <v>8363.4500000000007</v>
      </c>
      <c r="AF61" s="532">
        <v>0.01</v>
      </c>
      <c r="AG61" s="473">
        <v>9328.4699999999993</v>
      </c>
      <c r="AH61" s="532">
        <v>0.01</v>
      </c>
      <c r="AI61" s="473">
        <v>9650.14</v>
      </c>
      <c r="AJ61" s="532">
        <v>0.01</v>
      </c>
      <c r="AK61" s="473">
        <v>9971.81</v>
      </c>
      <c r="AL61" s="532">
        <v>0.01</v>
      </c>
      <c r="AM61" s="473">
        <v>321.67</v>
      </c>
      <c r="AN61" s="532">
        <v>0</v>
      </c>
      <c r="AO61" s="536">
        <v>643.34</v>
      </c>
      <c r="AP61" s="532">
        <v>0</v>
      </c>
    </row>
    <row r="62" spans="1:42" ht="15">
      <c r="A62" s="1032" t="s">
        <v>104</v>
      </c>
      <c r="B62" s="1044" t="s">
        <v>104</v>
      </c>
      <c r="C62" s="511">
        <v>2126.3000000000002</v>
      </c>
      <c r="D62">
        <v>0</v>
      </c>
      <c r="E62" s="473">
        <v>2835.07</v>
      </c>
      <c r="F62">
        <v>0</v>
      </c>
      <c r="G62" s="536">
        <v>3543.84</v>
      </c>
      <c r="H62" s="532">
        <v>0</v>
      </c>
      <c r="I62" s="473">
        <v>4252.6000000000004</v>
      </c>
      <c r="J62" s="532">
        <v>0</v>
      </c>
      <c r="K62" s="473">
        <v>4961.37</v>
      </c>
      <c r="L62" s="532">
        <v>0</v>
      </c>
      <c r="M62" s="473">
        <v>7087.67</v>
      </c>
      <c r="N62" s="532">
        <v>0.01</v>
      </c>
      <c r="O62" s="473">
        <v>7796.44</v>
      </c>
      <c r="P62" s="532">
        <v>0.01</v>
      </c>
      <c r="Q62" s="473">
        <v>8505.2099999999991</v>
      </c>
      <c r="R62" s="532">
        <v>0.01</v>
      </c>
      <c r="S62" s="473">
        <v>9213.9699999999993</v>
      </c>
      <c r="T62" s="532">
        <v>0.01</v>
      </c>
      <c r="U62" s="473">
        <v>9922.74</v>
      </c>
      <c r="V62" s="532">
        <v>0.01</v>
      </c>
      <c r="W62" s="473">
        <v>12049.04</v>
      </c>
      <c r="X62" s="532">
        <v>0.01</v>
      </c>
      <c r="Y62" s="473">
        <v>12757.81</v>
      </c>
      <c r="Z62" s="532">
        <v>0.01</v>
      </c>
      <c r="AA62" s="473">
        <v>13466.58</v>
      </c>
      <c r="AB62" s="532">
        <v>0.01</v>
      </c>
      <c r="AC62" s="473">
        <v>14175.34</v>
      </c>
      <c r="AD62" s="532">
        <v>0.02</v>
      </c>
      <c r="AE62" s="473">
        <v>14884.11</v>
      </c>
      <c r="AF62" s="532">
        <v>0.01</v>
      </c>
      <c r="AG62" s="473">
        <v>17010.41</v>
      </c>
      <c r="AH62" s="532">
        <v>0.02</v>
      </c>
      <c r="AI62" s="473">
        <v>17719.18</v>
      </c>
      <c r="AJ62" s="532">
        <v>0.02</v>
      </c>
      <c r="AK62" s="473">
        <v>18427.95</v>
      </c>
      <c r="AL62" s="532">
        <v>0.02</v>
      </c>
      <c r="AM62" s="473">
        <v>19136.71</v>
      </c>
      <c r="AN62" s="532">
        <v>0.02</v>
      </c>
      <c r="AO62" s="536">
        <v>19845.48</v>
      </c>
      <c r="AP62" s="532">
        <v>0.02</v>
      </c>
    </row>
    <row r="63" spans="1:42" thickBot="1">
      <c r="A63" s="1042" t="s">
        <v>58</v>
      </c>
      <c r="B63" s="1043" t="s">
        <v>58</v>
      </c>
      <c r="C63" s="511">
        <v>491.91</v>
      </c>
      <c r="D63" s="475">
        <v>0</v>
      </c>
      <c r="E63" s="473">
        <v>655.88</v>
      </c>
      <c r="F63" s="475">
        <v>0</v>
      </c>
      <c r="G63" s="536">
        <v>777.32</v>
      </c>
      <c r="H63" s="533">
        <v>0</v>
      </c>
      <c r="I63" s="473">
        <v>898.77</v>
      </c>
      <c r="J63" s="533">
        <v>0</v>
      </c>
      <c r="K63" s="473">
        <v>1020.21</v>
      </c>
      <c r="L63" s="533">
        <v>0</v>
      </c>
      <c r="M63" s="473">
        <v>1384.55</v>
      </c>
      <c r="N63" s="533">
        <v>0</v>
      </c>
      <c r="O63" s="473">
        <v>1505.99</v>
      </c>
      <c r="P63" s="533">
        <v>0</v>
      </c>
      <c r="Q63" s="473">
        <v>1627.44</v>
      </c>
      <c r="R63" s="533">
        <v>0</v>
      </c>
      <c r="S63" s="473">
        <v>1748.88</v>
      </c>
      <c r="T63" s="533">
        <v>0</v>
      </c>
      <c r="U63" s="473">
        <v>1870.33</v>
      </c>
      <c r="V63" s="533">
        <v>0</v>
      </c>
      <c r="W63" s="473">
        <v>2234.66</v>
      </c>
      <c r="X63" s="533">
        <v>0</v>
      </c>
      <c r="Y63" s="473">
        <v>2356.1</v>
      </c>
      <c r="Z63" s="533">
        <v>0</v>
      </c>
      <c r="AA63" s="473">
        <v>2477.5500000000002</v>
      </c>
      <c r="AB63" s="533">
        <v>0</v>
      </c>
      <c r="AC63" s="473">
        <v>2598.9899999999998</v>
      </c>
      <c r="AD63" s="533">
        <v>0</v>
      </c>
      <c r="AE63" s="473">
        <v>2742.92</v>
      </c>
      <c r="AF63" s="533">
        <v>0</v>
      </c>
      <c r="AG63" s="473">
        <v>3174.73</v>
      </c>
      <c r="AH63" s="533">
        <v>0</v>
      </c>
      <c r="AI63" s="473">
        <v>3318.66</v>
      </c>
      <c r="AJ63" s="533">
        <v>0</v>
      </c>
      <c r="AK63" s="473">
        <v>3462.6</v>
      </c>
      <c r="AL63" s="533">
        <v>0</v>
      </c>
      <c r="AM63" s="473">
        <v>3610.21</v>
      </c>
      <c r="AN63" s="533">
        <v>0</v>
      </c>
      <c r="AO63" s="536">
        <v>3757.83</v>
      </c>
      <c r="AP63" s="533">
        <v>0</v>
      </c>
    </row>
    <row r="64" spans="1:42" s="459" customFormat="1">
      <c r="A64" s="458" t="s">
        <v>120</v>
      </c>
      <c r="B64" s="424" t="s">
        <v>105</v>
      </c>
      <c r="C64" s="511">
        <v>210</v>
      </c>
      <c r="D64" s="434"/>
      <c r="E64" s="511">
        <v>210</v>
      </c>
      <c r="F64" s="434"/>
      <c r="G64" s="536">
        <v>210</v>
      </c>
      <c r="H64" s="528"/>
      <c r="I64" s="536">
        <v>210</v>
      </c>
      <c r="J64" s="528"/>
      <c r="K64" s="536">
        <v>210</v>
      </c>
      <c r="L64" s="528"/>
      <c r="M64" s="536">
        <v>210</v>
      </c>
      <c r="N64" s="528"/>
      <c r="O64" s="536">
        <v>210</v>
      </c>
      <c r="P64" s="528"/>
      <c r="Q64" s="536">
        <v>210</v>
      </c>
      <c r="R64" s="528"/>
      <c r="S64" s="536">
        <v>210</v>
      </c>
      <c r="T64" s="528"/>
      <c r="U64" s="536">
        <v>210</v>
      </c>
      <c r="V64" s="528"/>
      <c r="W64" s="536">
        <v>210</v>
      </c>
      <c r="X64" s="528"/>
      <c r="Y64" s="536">
        <v>210</v>
      </c>
      <c r="Z64" s="528"/>
      <c r="AA64" s="536">
        <v>210</v>
      </c>
      <c r="AB64" s="528"/>
      <c r="AC64" s="536">
        <v>210</v>
      </c>
      <c r="AD64" s="528"/>
      <c r="AE64" s="536">
        <v>210</v>
      </c>
      <c r="AF64" s="528"/>
      <c r="AG64" s="536">
        <v>210</v>
      </c>
      <c r="AH64" s="528"/>
      <c r="AI64" s="536">
        <v>210</v>
      </c>
      <c r="AJ64" s="528"/>
      <c r="AK64" s="536">
        <v>210</v>
      </c>
      <c r="AL64" s="528"/>
      <c r="AM64" s="536">
        <v>210</v>
      </c>
      <c r="AN64" s="528"/>
      <c r="AO64" s="536">
        <v>210</v>
      </c>
      <c r="AP64" s="528"/>
    </row>
    <row r="65" spans="1:42" s="459" customFormat="1">
      <c r="A65" s="543" t="s">
        <v>128</v>
      </c>
      <c r="B65" s="544"/>
      <c r="C65" s="545"/>
      <c r="D65" s="546"/>
      <c r="E65" s="545"/>
      <c r="F65" s="546"/>
      <c r="G65" s="547"/>
      <c r="H65" s="548"/>
      <c r="I65" s="547"/>
      <c r="J65" s="548"/>
      <c r="K65" s="547"/>
      <c r="L65" s="548"/>
      <c r="M65" s="547"/>
      <c r="N65" s="548"/>
      <c r="O65" s="547"/>
      <c r="P65" s="548"/>
      <c r="Q65" s="549">
        <v>37500</v>
      </c>
      <c r="R65" s="548">
        <v>0.04</v>
      </c>
      <c r="S65" s="549">
        <v>37500</v>
      </c>
      <c r="T65" s="548">
        <v>0.04</v>
      </c>
      <c r="U65" s="549">
        <v>37500</v>
      </c>
      <c r="V65" s="548">
        <v>0.04</v>
      </c>
      <c r="W65" s="549">
        <v>37500</v>
      </c>
      <c r="X65" s="548">
        <v>0.04</v>
      </c>
      <c r="Y65" s="549">
        <v>37500</v>
      </c>
      <c r="Z65" s="548">
        <v>0.04</v>
      </c>
      <c r="AA65" s="549">
        <v>37500</v>
      </c>
      <c r="AB65" s="548">
        <v>0.04</v>
      </c>
      <c r="AC65" s="549">
        <v>37500</v>
      </c>
      <c r="AD65" s="548">
        <v>0.04</v>
      </c>
      <c r="AE65" s="549">
        <v>37500</v>
      </c>
      <c r="AF65" s="548">
        <v>0.04</v>
      </c>
      <c r="AG65" s="549">
        <v>37500</v>
      </c>
      <c r="AH65" s="548">
        <v>0.04</v>
      </c>
      <c r="AI65" s="549">
        <v>37500</v>
      </c>
      <c r="AJ65" s="548">
        <v>0.04</v>
      </c>
      <c r="AK65" s="549">
        <v>37500</v>
      </c>
      <c r="AL65" s="548">
        <v>0.04</v>
      </c>
      <c r="AM65" s="549">
        <v>37500</v>
      </c>
      <c r="AN65" s="548">
        <v>0.04</v>
      </c>
      <c r="AO65" s="552">
        <v>37500</v>
      </c>
      <c r="AP65" s="548">
        <v>0.04</v>
      </c>
    </row>
    <row r="66" spans="1:42" s="459" customFormat="1" ht="15">
      <c r="A66" s="1032" t="s">
        <v>39</v>
      </c>
      <c r="B66" s="1044" t="s">
        <v>39</v>
      </c>
      <c r="C66" s="475"/>
      <c r="D66" s="472"/>
      <c r="E66" s="475"/>
      <c r="F66" s="472"/>
      <c r="G66" s="533"/>
      <c r="H66" s="534"/>
      <c r="I66" s="533"/>
      <c r="J66" s="534"/>
      <c r="K66" s="533"/>
      <c r="L66" s="534"/>
      <c r="M66" s="533"/>
      <c r="N66" s="534"/>
      <c r="O66" s="533"/>
      <c r="P66" s="534"/>
      <c r="Q66" s="533"/>
      <c r="R66" s="534"/>
      <c r="S66" s="533"/>
      <c r="T66" s="534"/>
      <c r="U66" s="533"/>
      <c r="V66" s="534"/>
      <c r="W66" s="533"/>
      <c r="X66" s="534"/>
      <c r="Y66" s="533"/>
      <c r="Z66" s="534"/>
      <c r="AA66" s="533"/>
      <c r="AB66" s="534"/>
      <c r="AC66" s="533"/>
      <c r="AD66" s="534"/>
      <c r="AE66" s="533"/>
      <c r="AF66" s="534"/>
      <c r="AG66" s="533"/>
      <c r="AH66" s="534"/>
      <c r="AI66" s="533"/>
      <c r="AJ66" s="534"/>
      <c r="AK66" s="533"/>
      <c r="AL66" s="534"/>
      <c r="AM66" s="533"/>
      <c r="AN66" s="534"/>
      <c r="AO66" s="552">
        <v>273.69</v>
      </c>
      <c r="AP66" s="534"/>
    </row>
    <row r="67" spans="1:42" ht="16.5" thickBot="1">
      <c r="A67" s="1018"/>
      <c r="B67" s="1019"/>
      <c r="C67" s="412">
        <f t="shared" ref="C67:AP67" si="4">SUM(C38:C66)</f>
        <v>5342833.7100000009</v>
      </c>
      <c r="D67" s="412">
        <f t="shared" si="4"/>
        <v>5.1499999999999986</v>
      </c>
      <c r="E67" s="412">
        <f t="shared" si="4"/>
        <v>5344708.3000000007</v>
      </c>
      <c r="F67" s="412">
        <f t="shared" si="4"/>
        <v>5.1599999999999993</v>
      </c>
      <c r="G67" s="412">
        <f t="shared" si="4"/>
        <v>5354479.8800000008</v>
      </c>
      <c r="H67" s="412">
        <f t="shared" si="4"/>
        <v>5.1999999999999984</v>
      </c>
      <c r="I67" s="412">
        <f t="shared" si="4"/>
        <v>5325743.5399999991</v>
      </c>
      <c r="J67" s="412">
        <f t="shared" si="4"/>
        <v>5.1599999999999984</v>
      </c>
      <c r="K67" s="412">
        <f t="shared" si="4"/>
        <v>5322322.58</v>
      </c>
      <c r="L67" s="412">
        <f t="shared" si="4"/>
        <v>5.1499999999999986</v>
      </c>
      <c r="M67" s="412">
        <f t="shared" si="4"/>
        <v>5262621.7800000021</v>
      </c>
      <c r="N67" s="412">
        <f t="shared" si="4"/>
        <v>5.089999999999999</v>
      </c>
      <c r="O67" s="412">
        <f t="shared" si="4"/>
        <v>5264453.8100000015</v>
      </c>
      <c r="P67" s="412">
        <f t="shared" si="4"/>
        <v>5.0999999999999996</v>
      </c>
      <c r="Q67" s="412">
        <f t="shared" si="4"/>
        <v>5315279.5700000022</v>
      </c>
      <c r="R67" s="412">
        <f t="shared" si="4"/>
        <v>5.1399999999999979</v>
      </c>
      <c r="S67" s="412">
        <f t="shared" si="4"/>
        <v>5317111.6499999994</v>
      </c>
      <c r="T67" s="412">
        <f t="shared" si="4"/>
        <v>5.1499999999999977</v>
      </c>
      <c r="U67" s="412">
        <f t="shared" si="4"/>
        <v>5301107.9400000013</v>
      </c>
      <c r="V67" s="412">
        <f t="shared" si="4"/>
        <v>5.1399999999999979</v>
      </c>
      <c r="W67" s="412">
        <f t="shared" si="4"/>
        <v>5306604.129999999</v>
      </c>
      <c r="X67" s="412">
        <f t="shared" si="4"/>
        <v>5.1299999999999981</v>
      </c>
      <c r="Y67" s="412">
        <f t="shared" si="4"/>
        <v>5457268.3199999994</v>
      </c>
      <c r="Z67" s="412">
        <f t="shared" si="4"/>
        <v>5.2799999999999976</v>
      </c>
      <c r="AA67" s="412">
        <f t="shared" si="4"/>
        <v>5334284.6599999992</v>
      </c>
      <c r="AB67" s="412">
        <f t="shared" si="4"/>
        <v>5.1599999999999975</v>
      </c>
      <c r="AC67" s="412">
        <f t="shared" si="4"/>
        <v>5336116.709999999</v>
      </c>
      <c r="AD67" s="412">
        <f t="shared" si="4"/>
        <v>5.1599999999999975</v>
      </c>
      <c r="AE67" s="412">
        <f t="shared" si="4"/>
        <v>5189139.1599999992</v>
      </c>
      <c r="AF67" s="412">
        <f t="shared" si="4"/>
        <v>5.0099999999999971</v>
      </c>
      <c r="AG67" s="412">
        <f t="shared" si="4"/>
        <v>5194702.8500000006</v>
      </c>
      <c r="AH67" s="412">
        <f t="shared" si="4"/>
        <v>5.0199999999999969</v>
      </c>
      <c r="AI67" s="412">
        <f t="shared" si="4"/>
        <v>5206122.330000001</v>
      </c>
      <c r="AJ67" s="412">
        <f t="shared" si="4"/>
        <v>5.0199999999999978</v>
      </c>
      <c r="AK67" s="412">
        <f t="shared" si="4"/>
        <v>5207976.88</v>
      </c>
      <c r="AL67" s="412">
        <f t="shared" si="4"/>
        <v>5.0299999999999976</v>
      </c>
      <c r="AM67" s="412">
        <f t="shared" si="4"/>
        <v>5199863.28</v>
      </c>
      <c r="AN67" s="412">
        <f t="shared" si="4"/>
        <v>5.0399999999999991</v>
      </c>
      <c r="AO67" s="412">
        <f t="shared" si="4"/>
        <v>5350775.91</v>
      </c>
      <c r="AP67" s="412">
        <f t="shared" si="4"/>
        <v>5.1599999999999993</v>
      </c>
    </row>
    <row r="68" spans="1:42">
      <c r="B68" s="142" t="s">
        <v>59</v>
      </c>
      <c r="C68" s="413">
        <f>C9+C15+C18</f>
        <v>65825202.310000002</v>
      </c>
      <c r="D68" s="440">
        <f>D9+D15</f>
        <v>61.769999999999996</v>
      </c>
      <c r="E68" s="413">
        <f>E9+E15+E18</f>
        <v>65816617.560000002</v>
      </c>
      <c r="F68" s="440">
        <f>F9+F15</f>
        <v>61.77</v>
      </c>
      <c r="G68" s="413">
        <f>G9+G15+G18</f>
        <v>65652515.75</v>
      </c>
      <c r="H68" s="440">
        <f>H9+H15</f>
        <v>62.02000000000001</v>
      </c>
      <c r="I68" s="413">
        <f>I9+I15+I18</f>
        <v>65877600.939999998</v>
      </c>
      <c r="J68" s="440">
        <f>J9+J15</f>
        <v>62.139999999999986</v>
      </c>
      <c r="K68" s="413">
        <f>K9+K15+K18</f>
        <v>65903991.409999996</v>
      </c>
      <c r="L68" s="440">
        <f>L9+L15</f>
        <v>62.129999999999995</v>
      </c>
      <c r="M68" s="413">
        <f>M9+M15+M18</f>
        <v>65966986.540000007</v>
      </c>
      <c r="N68" s="440">
        <f>N9+N15</f>
        <v>62.149999999999991</v>
      </c>
      <c r="O68" s="413">
        <f>O9+O15+O18</f>
        <v>65835597.119999997</v>
      </c>
      <c r="P68" s="440">
        <f>P9+P15</f>
        <v>62.100000000000009</v>
      </c>
      <c r="Q68" s="413">
        <f>Q9+Q15+Q18</f>
        <v>66002653.599999994</v>
      </c>
      <c r="R68" s="440">
        <f>R9+R15</f>
        <v>62.23</v>
      </c>
      <c r="S68" s="413">
        <f>S9+S15+S18</f>
        <v>65825375.979999989</v>
      </c>
      <c r="T68" s="440">
        <f>T9+T15</f>
        <v>62.17</v>
      </c>
      <c r="U68" s="413">
        <f>U9+U15+U18</f>
        <v>65888851.030000001</v>
      </c>
      <c r="V68" s="440">
        <f>V9+V15</f>
        <v>62.190000000000005</v>
      </c>
      <c r="W68" s="413">
        <f>W9+W15+W18</f>
        <v>66125534.469999999</v>
      </c>
      <c r="X68" s="440">
        <f>X9+X15</f>
        <v>62.27000000000001</v>
      </c>
      <c r="Y68" s="413">
        <f>Y9+Y15+Y18</f>
        <v>65935396.960000001</v>
      </c>
      <c r="Z68" s="440">
        <f>Z9+Z15</f>
        <v>62.12</v>
      </c>
      <c r="AA68" s="413">
        <f>AA9+AA15+AA18</f>
        <v>65749237.909999996</v>
      </c>
      <c r="AB68" s="440">
        <f>AB9+AB15</f>
        <v>62.05</v>
      </c>
      <c r="AC68" s="413">
        <f>AC9+AC15+AC18</f>
        <v>65991731.269999996</v>
      </c>
      <c r="AD68" s="440">
        <f>AD9+AD15</f>
        <v>62.129999999999995</v>
      </c>
      <c r="AE68" s="413">
        <f>AE9+AE15+AE18</f>
        <v>66012231.149999999</v>
      </c>
      <c r="AF68" s="440">
        <f>AF9+AF15</f>
        <v>62.139999999999993</v>
      </c>
      <c r="AG68" s="413">
        <f>AG9+AG15+AG18</f>
        <v>66012074.060000002</v>
      </c>
      <c r="AH68" s="440">
        <f>AH9+AH15</f>
        <v>62.14</v>
      </c>
      <c r="AI68" s="413">
        <f>AI9+AI15+AI18</f>
        <v>66092146.789999992</v>
      </c>
      <c r="AJ68" s="440">
        <f>AJ9+AJ15</f>
        <v>62.16</v>
      </c>
      <c r="AK68" s="413">
        <f>AK9+AK15+AK18</f>
        <v>59300349.079999998</v>
      </c>
      <c r="AL68" s="440">
        <f>AL9+AL15</f>
        <v>55.65</v>
      </c>
      <c r="AM68" s="413">
        <f>AM9+AM15+AM18</f>
        <v>65739572.689999998</v>
      </c>
      <c r="AN68" s="440">
        <f>AN9+AN15</f>
        <v>62.019999999999996</v>
      </c>
      <c r="AO68" s="413">
        <f>AO9+AO15+AO18</f>
        <v>65769103.629999995</v>
      </c>
      <c r="AP68" s="440">
        <f>AP9+AP15</f>
        <v>61.94</v>
      </c>
    </row>
    <row r="69" spans="1:42">
      <c r="A69" s="145"/>
      <c r="B69" s="145" t="s">
        <v>109</v>
      </c>
      <c r="C69" s="414">
        <f t="shared" ref="C69:AP69" si="5">C35</f>
        <v>25634141.629999999</v>
      </c>
      <c r="D69" s="441">
        <f t="shared" si="5"/>
        <v>24.69</v>
      </c>
      <c r="E69" s="414">
        <f t="shared" si="5"/>
        <v>25634141.629999999</v>
      </c>
      <c r="F69" s="441">
        <f t="shared" si="5"/>
        <v>24.69</v>
      </c>
      <c r="G69" s="414">
        <f t="shared" si="5"/>
        <v>25082272.219999999</v>
      </c>
      <c r="H69" s="441">
        <f t="shared" si="5"/>
        <v>24.33</v>
      </c>
      <c r="I69" s="414">
        <f t="shared" si="5"/>
        <v>25071265.59</v>
      </c>
      <c r="J69" s="441">
        <f t="shared" si="5"/>
        <v>24.270000000000003</v>
      </c>
      <c r="K69" s="414">
        <f t="shared" si="5"/>
        <v>25099482.600000001</v>
      </c>
      <c r="L69" s="441">
        <f t="shared" si="5"/>
        <v>24.29</v>
      </c>
      <c r="M69" s="414">
        <f t="shared" si="5"/>
        <v>25165007.259999998</v>
      </c>
      <c r="N69" s="441">
        <f t="shared" si="5"/>
        <v>24.34</v>
      </c>
      <c r="O69" s="414">
        <f t="shared" si="5"/>
        <v>25167705.259999998</v>
      </c>
      <c r="P69" s="441">
        <f t="shared" si="5"/>
        <v>24.37</v>
      </c>
      <c r="Q69" s="414">
        <f t="shared" si="5"/>
        <v>24998047.73</v>
      </c>
      <c r="R69" s="441">
        <f t="shared" si="5"/>
        <v>24.200000000000003</v>
      </c>
      <c r="S69" s="414">
        <f t="shared" si="5"/>
        <v>24998047.73</v>
      </c>
      <c r="T69" s="441">
        <f t="shared" si="5"/>
        <v>24.24</v>
      </c>
      <c r="U69" s="414">
        <f t="shared" si="5"/>
        <v>25012245.189999998</v>
      </c>
      <c r="V69" s="441">
        <f t="shared" si="5"/>
        <v>24.240000000000002</v>
      </c>
      <c r="W69" s="414">
        <f t="shared" si="5"/>
        <v>25012245.189999998</v>
      </c>
      <c r="X69" s="441">
        <f t="shared" si="5"/>
        <v>24.179999999999996</v>
      </c>
      <c r="Y69" s="414">
        <f t="shared" si="5"/>
        <v>24995340.59</v>
      </c>
      <c r="Z69" s="441">
        <f t="shared" si="5"/>
        <v>24.18</v>
      </c>
      <c r="AA69" s="414">
        <f t="shared" si="5"/>
        <v>25128563.5</v>
      </c>
      <c r="AB69" s="441">
        <f t="shared" si="5"/>
        <v>24.35</v>
      </c>
      <c r="AC69" s="414">
        <f t="shared" si="5"/>
        <v>25128563.5</v>
      </c>
      <c r="AD69" s="441">
        <f t="shared" si="5"/>
        <v>24.29</v>
      </c>
      <c r="AE69" s="414">
        <f t="shared" si="5"/>
        <v>25278143.5</v>
      </c>
      <c r="AF69" s="441">
        <f t="shared" si="5"/>
        <v>24.43</v>
      </c>
      <c r="AG69" s="414">
        <f t="shared" si="5"/>
        <v>25278143.5</v>
      </c>
      <c r="AH69" s="441">
        <f t="shared" si="5"/>
        <v>24.42</v>
      </c>
      <c r="AI69" s="414">
        <f t="shared" si="5"/>
        <v>25279143.5</v>
      </c>
      <c r="AJ69" s="441">
        <f t="shared" si="5"/>
        <v>24.409999999999997</v>
      </c>
      <c r="AK69" s="414">
        <f t="shared" si="5"/>
        <v>31971628.5</v>
      </c>
      <c r="AL69" s="441">
        <f t="shared" si="5"/>
        <v>30.9</v>
      </c>
      <c r="AM69" s="414">
        <f t="shared" si="5"/>
        <v>25308178.810000002</v>
      </c>
      <c r="AN69" s="441">
        <f t="shared" si="5"/>
        <v>24.51</v>
      </c>
      <c r="AO69" s="414">
        <f t="shared" si="5"/>
        <v>25308178.810000002</v>
      </c>
      <c r="AP69" s="441">
        <f t="shared" si="5"/>
        <v>24.47</v>
      </c>
    </row>
    <row r="70" spans="1:42">
      <c r="B70" s="145" t="s">
        <v>110</v>
      </c>
      <c r="C70" s="414">
        <f t="shared" ref="C70:AP70" si="6">C22</f>
        <v>7005983.7000000002</v>
      </c>
      <c r="D70" s="441">
        <f t="shared" si="6"/>
        <v>6.75</v>
      </c>
      <c r="E70" s="414">
        <f t="shared" si="6"/>
        <v>7005983.7000000002</v>
      </c>
      <c r="F70" s="441">
        <f t="shared" si="6"/>
        <v>6.7399999999999993</v>
      </c>
      <c r="G70" s="414">
        <f t="shared" si="6"/>
        <v>7005983.7000000002</v>
      </c>
      <c r="H70" s="441">
        <f t="shared" si="6"/>
        <v>6.79</v>
      </c>
      <c r="I70" s="414">
        <f t="shared" si="6"/>
        <v>7005983.7000000002</v>
      </c>
      <c r="J70" s="441">
        <f t="shared" si="6"/>
        <v>6.7799999999999994</v>
      </c>
      <c r="K70" s="414">
        <f t="shared" si="6"/>
        <v>7005983.7000000002</v>
      </c>
      <c r="L70" s="441">
        <f t="shared" si="6"/>
        <v>6.7799999999999994</v>
      </c>
      <c r="M70" s="414">
        <f t="shared" si="6"/>
        <v>7005983.7000000002</v>
      </c>
      <c r="N70" s="441">
        <f t="shared" si="6"/>
        <v>6.77</v>
      </c>
      <c r="O70" s="414">
        <f t="shared" si="6"/>
        <v>7005983.7000000002</v>
      </c>
      <c r="P70" s="441">
        <f t="shared" si="6"/>
        <v>6.7799999999999994</v>
      </c>
      <c r="Q70" s="414">
        <f t="shared" si="6"/>
        <v>7005983.7000000002</v>
      </c>
      <c r="R70" s="441">
        <f t="shared" si="6"/>
        <v>6.7799999999999994</v>
      </c>
      <c r="S70" s="414">
        <f t="shared" si="6"/>
        <v>7005983.7000000002</v>
      </c>
      <c r="T70" s="441">
        <f t="shared" si="6"/>
        <v>6.79</v>
      </c>
      <c r="U70" s="414">
        <f t="shared" si="6"/>
        <v>7005983.7000000002</v>
      </c>
      <c r="V70" s="441">
        <f t="shared" si="6"/>
        <v>6.7799999999999994</v>
      </c>
      <c r="W70" s="414">
        <f t="shared" si="6"/>
        <v>7005983.7000000002</v>
      </c>
      <c r="X70" s="441">
        <f t="shared" si="6"/>
        <v>6.77</v>
      </c>
      <c r="Y70" s="414">
        <f t="shared" si="6"/>
        <v>7005983.7000000002</v>
      </c>
      <c r="Z70" s="441">
        <f t="shared" si="6"/>
        <v>6.77</v>
      </c>
      <c r="AA70" s="414">
        <f t="shared" si="6"/>
        <v>7005983.7000000002</v>
      </c>
      <c r="AB70" s="441">
        <f t="shared" si="6"/>
        <v>6.7899999999999991</v>
      </c>
      <c r="AC70" s="414">
        <f t="shared" si="6"/>
        <v>7005983.7000000002</v>
      </c>
      <c r="AD70" s="441">
        <f t="shared" si="6"/>
        <v>6.77</v>
      </c>
      <c r="AE70" s="414">
        <f t="shared" si="6"/>
        <v>7005983.7000000002</v>
      </c>
      <c r="AF70" s="441">
        <f t="shared" si="6"/>
        <v>6.77</v>
      </c>
      <c r="AG70" s="414">
        <f t="shared" si="6"/>
        <v>7005983.7000000002</v>
      </c>
      <c r="AH70" s="441">
        <f t="shared" si="6"/>
        <v>6.77</v>
      </c>
      <c r="AI70" s="414">
        <f t="shared" si="6"/>
        <v>7005983.7000000002</v>
      </c>
      <c r="AJ70" s="441">
        <f t="shared" si="6"/>
        <v>6.76</v>
      </c>
      <c r="AK70" s="414">
        <f t="shared" si="6"/>
        <v>7005983.7000000002</v>
      </c>
      <c r="AL70" s="441">
        <f t="shared" si="6"/>
        <v>6.77</v>
      </c>
      <c r="AM70" s="414">
        <f t="shared" si="6"/>
        <v>7005983.7000000002</v>
      </c>
      <c r="AN70" s="441">
        <f t="shared" si="6"/>
        <v>6.7799999999999994</v>
      </c>
      <c r="AO70" s="414">
        <f t="shared" si="6"/>
        <v>7005983.7000000002</v>
      </c>
      <c r="AP70" s="441">
        <f t="shared" si="6"/>
        <v>6.7799999999999994</v>
      </c>
    </row>
    <row r="71" spans="1:42">
      <c r="B71" s="145" t="s">
        <v>122</v>
      </c>
      <c r="C71" s="414"/>
      <c r="D71" s="414">
        <f>D18</f>
        <v>1.64</v>
      </c>
      <c r="E71" s="414"/>
      <c r="F71" s="414">
        <f>F18</f>
        <v>1.64</v>
      </c>
      <c r="G71" s="414"/>
      <c r="H71" s="414">
        <f>H18</f>
        <v>1.66</v>
      </c>
      <c r="I71" s="414"/>
      <c r="J71" s="414">
        <f>J18</f>
        <v>1.65</v>
      </c>
      <c r="K71" s="414"/>
      <c r="L71" s="414">
        <f>L18</f>
        <v>1.65</v>
      </c>
      <c r="M71" s="414"/>
      <c r="N71" s="414">
        <f>N18</f>
        <v>1.65</v>
      </c>
      <c r="O71" s="414"/>
      <c r="P71" s="414">
        <f>P18</f>
        <v>1.65</v>
      </c>
      <c r="Q71" s="414"/>
      <c r="R71" s="414">
        <f>R18</f>
        <v>1.65</v>
      </c>
      <c r="S71" s="414"/>
      <c r="T71" s="414">
        <f>T18</f>
        <v>1.65</v>
      </c>
      <c r="U71" s="414"/>
      <c r="V71" s="414">
        <f>V18</f>
        <v>1.65</v>
      </c>
      <c r="W71" s="414"/>
      <c r="X71" s="414">
        <f>X18</f>
        <v>1.65</v>
      </c>
      <c r="Y71" s="414"/>
      <c r="Z71" s="414">
        <f>Z18</f>
        <v>1.65</v>
      </c>
      <c r="AA71" s="414"/>
      <c r="AB71" s="414">
        <f>AB18</f>
        <v>1.65</v>
      </c>
      <c r="AC71" s="414"/>
      <c r="AD71" s="414">
        <f>AD18</f>
        <v>1.65</v>
      </c>
      <c r="AE71" s="414"/>
      <c r="AF71" s="414">
        <f>AF18</f>
        <v>1.65</v>
      </c>
      <c r="AG71" s="414"/>
      <c r="AH71" s="414">
        <f>AH18</f>
        <v>1.65</v>
      </c>
      <c r="AI71" s="414"/>
      <c r="AJ71" s="414">
        <f>AJ18</f>
        <v>1.65</v>
      </c>
      <c r="AK71" s="414"/>
      <c r="AL71" s="414">
        <f>AL18</f>
        <v>1.65</v>
      </c>
      <c r="AM71" s="414"/>
      <c r="AN71" s="414">
        <f>AN18</f>
        <v>1.65</v>
      </c>
      <c r="AO71" s="414"/>
      <c r="AP71" s="414">
        <f>AP18</f>
        <v>1.65</v>
      </c>
    </row>
    <row r="72" spans="1:42" ht="16.5" thickBot="1">
      <c r="A72" s="1037" t="s">
        <v>117</v>
      </c>
      <c r="B72" s="1038"/>
      <c r="C72" s="415">
        <f t="shared" ref="C72:AP72" si="7">C67</f>
        <v>5342833.7100000009</v>
      </c>
      <c r="D72" s="442">
        <f t="shared" si="7"/>
        <v>5.1499999999999986</v>
      </c>
      <c r="E72" s="415">
        <f t="shared" si="7"/>
        <v>5344708.3000000007</v>
      </c>
      <c r="F72" s="442">
        <f t="shared" si="7"/>
        <v>5.1599999999999993</v>
      </c>
      <c r="G72" s="415">
        <f t="shared" si="7"/>
        <v>5354479.8800000008</v>
      </c>
      <c r="H72" s="442">
        <f t="shared" si="7"/>
        <v>5.1999999999999984</v>
      </c>
      <c r="I72" s="415">
        <f t="shared" si="7"/>
        <v>5325743.5399999991</v>
      </c>
      <c r="J72" s="442">
        <f t="shared" si="7"/>
        <v>5.1599999999999984</v>
      </c>
      <c r="K72" s="415">
        <f t="shared" si="7"/>
        <v>5322322.58</v>
      </c>
      <c r="L72" s="442">
        <f t="shared" si="7"/>
        <v>5.1499999999999986</v>
      </c>
      <c r="M72" s="415">
        <f t="shared" si="7"/>
        <v>5262621.7800000021</v>
      </c>
      <c r="N72" s="442">
        <f t="shared" si="7"/>
        <v>5.089999999999999</v>
      </c>
      <c r="O72" s="415">
        <f t="shared" si="7"/>
        <v>5264453.8100000015</v>
      </c>
      <c r="P72" s="442">
        <f t="shared" si="7"/>
        <v>5.0999999999999996</v>
      </c>
      <c r="Q72" s="415">
        <f t="shared" si="7"/>
        <v>5315279.5700000022</v>
      </c>
      <c r="R72" s="442">
        <f t="shared" si="7"/>
        <v>5.1399999999999979</v>
      </c>
      <c r="S72" s="415">
        <f t="shared" si="7"/>
        <v>5317111.6499999994</v>
      </c>
      <c r="T72" s="442">
        <f t="shared" si="7"/>
        <v>5.1499999999999977</v>
      </c>
      <c r="U72" s="415">
        <f t="shared" si="7"/>
        <v>5301107.9400000013</v>
      </c>
      <c r="V72" s="442">
        <f t="shared" si="7"/>
        <v>5.1399999999999979</v>
      </c>
      <c r="W72" s="415">
        <f t="shared" si="7"/>
        <v>5306604.129999999</v>
      </c>
      <c r="X72" s="442">
        <f t="shared" si="7"/>
        <v>5.1299999999999981</v>
      </c>
      <c r="Y72" s="415">
        <f t="shared" si="7"/>
        <v>5457268.3199999994</v>
      </c>
      <c r="Z72" s="442">
        <f t="shared" si="7"/>
        <v>5.2799999999999976</v>
      </c>
      <c r="AA72" s="415">
        <f t="shared" si="7"/>
        <v>5334284.6599999992</v>
      </c>
      <c r="AB72" s="442">
        <f t="shared" si="7"/>
        <v>5.1599999999999975</v>
      </c>
      <c r="AC72" s="415">
        <f t="shared" si="7"/>
        <v>5336116.709999999</v>
      </c>
      <c r="AD72" s="442">
        <f t="shared" si="7"/>
        <v>5.1599999999999975</v>
      </c>
      <c r="AE72" s="415">
        <f t="shared" si="7"/>
        <v>5189139.1599999992</v>
      </c>
      <c r="AF72" s="442">
        <f t="shared" si="7"/>
        <v>5.0099999999999971</v>
      </c>
      <c r="AG72" s="415">
        <f t="shared" si="7"/>
        <v>5194702.8500000006</v>
      </c>
      <c r="AH72" s="442">
        <f t="shared" si="7"/>
        <v>5.0199999999999969</v>
      </c>
      <c r="AI72" s="415">
        <f t="shared" si="7"/>
        <v>5206122.330000001</v>
      </c>
      <c r="AJ72" s="442">
        <f t="shared" si="7"/>
        <v>5.0199999999999978</v>
      </c>
      <c r="AK72" s="415">
        <f t="shared" si="7"/>
        <v>5207976.88</v>
      </c>
      <c r="AL72" s="442">
        <f t="shared" si="7"/>
        <v>5.0299999999999976</v>
      </c>
      <c r="AM72" s="415">
        <f t="shared" si="7"/>
        <v>5199863.28</v>
      </c>
      <c r="AN72" s="442">
        <f t="shared" si="7"/>
        <v>5.0399999999999991</v>
      </c>
      <c r="AO72" s="415">
        <f t="shared" si="7"/>
        <v>5350775.91</v>
      </c>
      <c r="AP72" s="442">
        <f t="shared" si="7"/>
        <v>5.1599999999999993</v>
      </c>
    </row>
    <row r="73" spans="1:42" ht="16.5" thickBot="1">
      <c r="A73" s="151"/>
      <c r="B73" s="152" t="s">
        <v>111</v>
      </c>
      <c r="C73" s="416">
        <f t="shared" ref="C73:AP73" si="8">SUM(C68:C72)</f>
        <v>103808161.34999999</v>
      </c>
      <c r="D73" s="443">
        <f t="shared" si="8"/>
        <v>100</v>
      </c>
      <c r="E73" s="416">
        <f t="shared" si="8"/>
        <v>103801451.19</v>
      </c>
      <c r="F73" s="443">
        <f t="shared" si="8"/>
        <v>100</v>
      </c>
      <c r="G73" s="416">
        <f t="shared" si="8"/>
        <v>103095251.55</v>
      </c>
      <c r="H73" s="443">
        <f t="shared" si="8"/>
        <v>100.00000000000001</v>
      </c>
      <c r="I73" s="416">
        <f t="shared" si="8"/>
        <v>103280593.77000001</v>
      </c>
      <c r="J73" s="443">
        <f t="shared" si="8"/>
        <v>100</v>
      </c>
      <c r="K73" s="416">
        <f t="shared" si="8"/>
        <v>103331780.28999999</v>
      </c>
      <c r="L73" s="443">
        <f t="shared" si="8"/>
        <v>100</v>
      </c>
      <c r="M73" s="416">
        <f t="shared" si="8"/>
        <v>103400599.28000002</v>
      </c>
      <c r="N73" s="443">
        <f t="shared" si="8"/>
        <v>100</v>
      </c>
      <c r="O73" s="416">
        <f t="shared" si="8"/>
        <v>103273739.89</v>
      </c>
      <c r="P73" s="443">
        <f t="shared" si="8"/>
        <v>100.00000000000001</v>
      </c>
      <c r="Q73" s="416">
        <f t="shared" si="8"/>
        <v>103321964.60000001</v>
      </c>
      <c r="R73" s="443">
        <f t="shared" si="8"/>
        <v>100.00000000000001</v>
      </c>
      <c r="S73" s="416">
        <f t="shared" si="8"/>
        <v>103146519.06</v>
      </c>
      <c r="T73" s="443">
        <f t="shared" si="8"/>
        <v>100</v>
      </c>
      <c r="U73" s="416">
        <f t="shared" si="8"/>
        <v>103208187.86</v>
      </c>
      <c r="V73" s="443">
        <f t="shared" si="8"/>
        <v>100.00000000000001</v>
      </c>
      <c r="W73" s="416">
        <f t="shared" si="8"/>
        <v>103450367.48999999</v>
      </c>
      <c r="X73" s="443">
        <f t="shared" si="8"/>
        <v>100</v>
      </c>
      <c r="Y73" s="416">
        <f t="shared" si="8"/>
        <v>103393989.56999999</v>
      </c>
      <c r="Z73" s="443">
        <f t="shared" si="8"/>
        <v>100</v>
      </c>
      <c r="AA73" s="416">
        <f t="shared" si="8"/>
        <v>103218069.77</v>
      </c>
      <c r="AB73" s="443">
        <f t="shared" si="8"/>
        <v>100</v>
      </c>
      <c r="AC73" s="416">
        <f t="shared" si="8"/>
        <v>103462395.17999999</v>
      </c>
      <c r="AD73" s="443">
        <f t="shared" si="8"/>
        <v>99.999999999999986</v>
      </c>
      <c r="AE73" s="416">
        <f t="shared" si="8"/>
        <v>103485497.51000001</v>
      </c>
      <c r="AF73" s="443">
        <f t="shared" si="8"/>
        <v>99.999999999999986</v>
      </c>
      <c r="AG73" s="416">
        <f t="shared" si="8"/>
        <v>103490904.11</v>
      </c>
      <c r="AH73" s="443">
        <f t="shared" si="8"/>
        <v>100</v>
      </c>
      <c r="AI73" s="416">
        <f t="shared" si="8"/>
        <v>103583396.31999999</v>
      </c>
      <c r="AJ73" s="443">
        <f t="shared" si="8"/>
        <v>100</v>
      </c>
      <c r="AK73" s="416">
        <f t="shared" si="8"/>
        <v>103485938.16</v>
      </c>
      <c r="AL73" s="443">
        <f t="shared" si="8"/>
        <v>100</v>
      </c>
      <c r="AM73" s="416">
        <f t="shared" si="8"/>
        <v>103253598.48</v>
      </c>
      <c r="AN73" s="443">
        <f t="shared" si="8"/>
        <v>100</v>
      </c>
      <c r="AO73" s="416">
        <f t="shared" si="8"/>
        <v>103434042.05</v>
      </c>
      <c r="AP73" s="443">
        <f t="shared" si="8"/>
        <v>100</v>
      </c>
    </row>
  </sheetData>
  <mergeCells count="38">
    <mergeCell ref="AM1:AN1"/>
    <mergeCell ref="K1:L1"/>
    <mergeCell ref="AI1:AJ1"/>
    <mergeCell ref="AC1:AD1"/>
    <mergeCell ref="Y1:Z1"/>
    <mergeCell ref="Q1:R1"/>
    <mergeCell ref="M1:N1"/>
    <mergeCell ref="AG1:AH1"/>
    <mergeCell ref="AE1:AF1"/>
    <mergeCell ref="AA1:AB1"/>
    <mergeCell ref="U1:V1"/>
    <mergeCell ref="W1:X1"/>
    <mergeCell ref="S1:T1"/>
    <mergeCell ref="O1:P1"/>
    <mergeCell ref="AK1:AL1"/>
    <mergeCell ref="A36:B36"/>
    <mergeCell ref="I1:J1"/>
    <mergeCell ref="E1:F1"/>
    <mergeCell ref="G1:H1"/>
    <mergeCell ref="A35:B35"/>
    <mergeCell ref="A18:B18"/>
    <mergeCell ref="A15:B15"/>
    <mergeCell ref="AO1:AP1"/>
    <mergeCell ref="A52:B52"/>
    <mergeCell ref="C1:D1"/>
    <mergeCell ref="A72:B72"/>
    <mergeCell ref="A57:B57"/>
    <mergeCell ref="A58:B58"/>
    <mergeCell ref="A59:B59"/>
    <mergeCell ref="A60:B60"/>
    <mergeCell ref="A61:B61"/>
    <mergeCell ref="A62:B62"/>
    <mergeCell ref="A63:B63"/>
    <mergeCell ref="A66:B66"/>
    <mergeCell ref="A67:B67"/>
    <mergeCell ref="A22:B22"/>
    <mergeCell ref="A9:B9"/>
    <mergeCell ref="A37:B3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V77"/>
  <sheetViews>
    <sheetView tabSelected="1" topLeftCell="AK55" zoomScale="120" zoomScaleNormal="120" workbookViewId="0">
      <selection activeCell="AK72" sqref="A72:XFD72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17" customWidth="1"/>
    <col min="4" max="4" width="12.5703125" style="417" customWidth="1"/>
    <col min="5" max="5" width="23.140625" style="417" customWidth="1"/>
    <col min="6" max="6" width="12.5703125" style="417" customWidth="1"/>
    <col min="7" max="7" width="23.140625" style="417" customWidth="1"/>
    <col min="8" max="8" width="12.5703125" style="417" customWidth="1"/>
    <col min="9" max="9" width="23.140625" style="417" customWidth="1"/>
    <col min="10" max="10" width="12.5703125" style="417" customWidth="1"/>
    <col min="11" max="11" width="23.140625" style="417" customWidth="1"/>
    <col min="12" max="12" width="12.5703125" style="417" customWidth="1"/>
    <col min="13" max="13" width="23.140625" style="417" customWidth="1"/>
    <col min="14" max="14" width="12.5703125" style="417" customWidth="1"/>
    <col min="15" max="15" width="23.140625" style="417" customWidth="1"/>
    <col min="16" max="16" width="12.5703125" style="417" customWidth="1"/>
    <col min="17" max="17" width="23.140625" style="417" customWidth="1"/>
    <col min="18" max="18" width="12.5703125" style="417" customWidth="1"/>
    <col min="19" max="19" width="23.140625" style="417" customWidth="1"/>
    <col min="20" max="20" width="12.5703125" style="417" customWidth="1"/>
    <col min="21" max="21" width="23.140625" style="417" customWidth="1"/>
    <col min="22" max="22" width="12.5703125" style="417" customWidth="1"/>
    <col min="23" max="23" width="23.140625" style="417" customWidth="1"/>
    <col min="24" max="24" width="12.5703125" style="417" customWidth="1"/>
    <col min="25" max="25" width="23.140625" style="417" customWidth="1"/>
    <col min="26" max="26" width="12.5703125" style="417" customWidth="1"/>
    <col min="27" max="27" width="23.140625" style="417" customWidth="1"/>
    <col min="28" max="28" width="12.5703125" style="417" customWidth="1"/>
    <col min="29" max="29" width="23.140625" style="417" customWidth="1"/>
    <col min="30" max="30" width="12.5703125" style="417" customWidth="1"/>
    <col min="31" max="31" width="23.140625" style="630" customWidth="1"/>
    <col min="32" max="32" width="12.5703125" style="417" customWidth="1"/>
    <col min="33" max="33" width="23.140625" style="692" customWidth="1"/>
    <col min="34" max="34" width="12.5703125" style="692" customWidth="1"/>
    <col min="35" max="35" width="23.140625" style="692" customWidth="1"/>
    <col min="36" max="36" width="12.5703125" style="692" customWidth="1"/>
    <col min="37" max="37" width="23.140625" style="692" customWidth="1"/>
    <col min="38" max="38" width="12.5703125" style="692" customWidth="1"/>
    <col min="39" max="39" width="23.140625" style="692" customWidth="1"/>
    <col min="40" max="40" width="12.5703125" style="692" customWidth="1"/>
    <col min="41" max="41" width="23.140625" style="692" customWidth="1"/>
    <col min="42" max="42" width="12.5703125" style="692" customWidth="1"/>
    <col min="43" max="43" width="23.140625" style="692" customWidth="1"/>
    <col min="44" max="44" width="12.5703125" style="692" customWidth="1"/>
    <col min="45" max="45" width="23.140625" style="692" customWidth="1"/>
    <col min="46" max="46" width="12.5703125" style="692" customWidth="1"/>
    <col min="47" max="47" width="23.140625" style="692" customWidth="1"/>
    <col min="48" max="48" width="12.5703125" style="692" customWidth="1"/>
  </cols>
  <sheetData>
    <row r="1" spans="1:48">
      <c r="C1" s="1035">
        <v>26</v>
      </c>
      <c r="D1" s="1036"/>
      <c r="E1" s="1035">
        <v>27</v>
      </c>
      <c r="F1" s="1036"/>
      <c r="G1" s="1035">
        <v>3</v>
      </c>
      <c r="H1" s="1036"/>
      <c r="I1" s="1035">
        <v>4</v>
      </c>
      <c r="J1" s="1036"/>
      <c r="K1" s="1035">
        <v>5</v>
      </c>
      <c r="L1" s="1036"/>
      <c r="M1" s="1035">
        <v>6</v>
      </c>
      <c r="N1" s="1036"/>
      <c r="O1" s="1035">
        <v>7</v>
      </c>
      <c r="P1" s="1036"/>
      <c r="Q1" s="1035">
        <v>10</v>
      </c>
      <c r="R1" s="1036"/>
      <c r="S1" s="1035">
        <v>11</v>
      </c>
      <c r="T1" s="1036"/>
      <c r="U1" s="1035">
        <v>12</v>
      </c>
      <c r="V1" s="1036"/>
      <c r="W1" s="1035">
        <v>13</v>
      </c>
      <c r="X1" s="1036"/>
      <c r="Y1" s="1035">
        <v>14</v>
      </c>
      <c r="Z1" s="1036"/>
      <c r="AA1" s="1035">
        <v>17</v>
      </c>
      <c r="AB1" s="1036"/>
      <c r="AC1" s="1035">
        <v>18</v>
      </c>
      <c r="AD1" s="1036"/>
      <c r="AE1" s="1035">
        <v>19</v>
      </c>
      <c r="AF1" s="1036"/>
      <c r="AG1" s="1035">
        <v>20</v>
      </c>
      <c r="AH1" s="1036"/>
      <c r="AI1" s="1035">
        <v>21</v>
      </c>
      <c r="AJ1" s="1036"/>
      <c r="AK1" s="1035">
        <v>24</v>
      </c>
      <c r="AL1" s="1036"/>
      <c r="AM1" s="1035">
        <v>25</v>
      </c>
      <c r="AN1" s="1036"/>
      <c r="AO1" s="1035">
        <v>26</v>
      </c>
      <c r="AP1" s="1036"/>
      <c r="AQ1" s="1035">
        <v>27</v>
      </c>
      <c r="AR1" s="1036"/>
      <c r="AS1" s="1035">
        <v>28</v>
      </c>
      <c r="AT1" s="1036"/>
      <c r="AU1" s="1035">
        <v>31</v>
      </c>
      <c r="AV1" s="1036"/>
    </row>
    <row r="2" spans="1:48">
      <c r="A2" s="418" t="s">
        <v>129</v>
      </c>
      <c r="B2" s="58" t="s">
        <v>15</v>
      </c>
      <c r="C2" s="200"/>
      <c r="D2" s="519"/>
      <c r="E2" s="200">
        <v>6593448</v>
      </c>
      <c r="F2" s="519">
        <v>6.39</v>
      </c>
      <c r="G2" s="200">
        <v>6605187</v>
      </c>
      <c r="H2" s="505">
        <v>6.36</v>
      </c>
      <c r="I2" s="200">
        <v>6593858.2199999997</v>
      </c>
      <c r="J2" s="505">
        <v>6.3599999999999994</v>
      </c>
      <c r="K2" s="200">
        <v>6621183</v>
      </c>
      <c r="L2" s="505">
        <v>6.42</v>
      </c>
      <c r="M2" s="200">
        <v>6624021</v>
      </c>
      <c r="N2" s="505">
        <v>6.42</v>
      </c>
      <c r="O2" s="200">
        <v>6626794.5</v>
      </c>
      <c r="P2" s="505">
        <v>6.41</v>
      </c>
      <c r="Q2" s="205">
        <v>6635244</v>
      </c>
      <c r="R2" s="508">
        <v>6.42</v>
      </c>
      <c r="S2" s="200">
        <v>6621247.5</v>
      </c>
      <c r="T2" s="505">
        <v>6.42</v>
      </c>
      <c r="U2" s="200">
        <v>6600565.5800000001</v>
      </c>
      <c r="V2" s="505">
        <v>6.39</v>
      </c>
      <c r="W2" s="200">
        <v>6626923.5</v>
      </c>
      <c r="X2" s="505">
        <v>6.4</v>
      </c>
      <c r="Y2" s="200">
        <v>6629761.5</v>
      </c>
      <c r="Z2" s="505">
        <v>6.4</v>
      </c>
      <c r="AA2" s="200">
        <v>6638340</v>
      </c>
      <c r="AB2" s="505">
        <v>6.41</v>
      </c>
      <c r="AC2" s="200">
        <v>6641371.5</v>
      </c>
      <c r="AD2" s="505">
        <v>6.41</v>
      </c>
      <c r="AE2" s="200">
        <v>6644209.5</v>
      </c>
      <c r="AF2" s="505">
        <v>6.42</v>
      </c>
      <c r="AG2" s="631">
        <v>6647112</v>
      </c>
      <c r="AH2" s="632">
        <v>6.43</v>
      </c>
      <c r="AI2" s="631">
        <v>6649950</v>
      </c>
      <c r="AJ2" s="632">
        <v>6.41</v>
      </c>
      <c r="AK2" s="631">
        <v>6658464</v>
      </c>
      <c r="AL2" s="632">
        <v>6.42</v>
      </c>
      <c r="AM2" s="631">
        <v>6659818.5</v>
      </c>
      <c r="AN2" s="632">
        <v>6.41</v>
      </c>
      <c r="AO2" s="631">
        <v>6662656.5</v>
      </c>
      <c r="AP2" s="632">
        <v>6.43</v>
      </c>
      <c r="AQ2" s="634">
        <v>6608055.96</v>
      </c>
      <c r="AR2" s="697">
        <v>6.37</v>
      </c>
      <c r="AS2" s="631">
        <v>6668268</v>
      </c>
      <c r="AT2" s="632">
        <v>6.42</v>
      </c>
      <c r="AU2" s="631">
        <v>6663946.5</v>
      </c>
      <c r="AV2" s="632">
        <v>6.41</v>
      </c>
    </row>
    <row r="3" spans="1:48">
      <c r="A3" s="418" t="s">
        <v>123</v>
      </c>
      <c r="B3" s="58" t="s">
        <v>15</v>
      </c>
      <c r="C3" s="200">
        <v>4428488.6399999997</v>
      </c>
      <c r="D3" s="519">
        <v>4.28</v>
      </c>
      <c r="E3" s="200">
        <v>4430250</v>
      </c>
      <c r="F3" s="519">
        <v>4.29</v>
      </c>
      <c r="G3" s="200">
        <v>4440173.76</v>
      </c>
      <c r="H3" s="519">
        <v>4.28</v>
      </c>
      <c r="I3" s="205">
        <v>4443911.28</v>
      </c>
      <c r="J3" s="507">
        <v>4.28</v>
      </c>
      <c r="K3" s="205">
        <v>4445672.6399999997</v>
      </c>
      <c r="L3" s="507">
        <v>4.3099999999999996</v>
      </c>
      <c r="M3" s="200">
        <v>4447434</v>
      </c>
      <c r="N3" s="519">
        <v>4.3099999999999996</v>
      </c>
      <c r="O3" s="200">
        <v>4449152.4000000004</v>
      </c>
      <c r="P3" s="519">
        <v>4.3099999999999996</v>
      </c>
      <c r="Q3" s="200">
        <v>4454436.4800000004</v>
      </c>
      <c r="R3" s="505">
        <v>4.3099999999999996</v>
      </c>
      <c r="S3" s="200">
        <v>4451987.76</v>
      </c>
      <c r="T3" s="519">
        <v>4.3199999999999994</v>
      </c>
      <c r="U3" s="200">
        <v>4453792.08</v>
      </c>
      <c r="V3" s="519">
        <v>4.3099999999999996</v>
      </c>
      <c r="W3" s="200">
        <v>4455553.4400000004</v>
      </c>
      <c r="X3" s="519">
        <v>4.3099999999999996</v>
      </c>
      <c r="Y3" s="200">
        <v>4457314.8</v>
      </c>
      <c r="Z3" s="519">
        <v>4.3099999999999996</v>
      </c>
      <c r="AA3" s="200">
        <v>4462641.84</v>
      </c>
      <c r="AB3" s="505">
        <v>4.3099999999999996</v>
      </c>
      <c r="AC3" s="200">
        <v>4461954.4800000004</v>
      </c>
      <c r="AD3" s="505">
        <v>4.3099999999999996</v>
      </c>
      <c r="AE3" s="200">
        <v>4463715.84</v>
      </c>
      <c r="AF3" s="505">
        <v>4.32</v>
      </c>
      <c r="AG3" s="631">
        <v>4465520.16</v>
      </c>
      <c r="AH3" s="632">
        <v>4.32</v>
      </c>
      <c r="AI3" s="631">
        <v>4467281.5199999996</v>
      </c>
      <c r="AJ3" s="632">
        <v>4.3099999999999996</v>
      </c>
      <c r="AK3" s="631">
        <v>4472608.5599999996</v>
      </c>
      <c r="AL3" s="632">
        <v>4.3099999999999996</v>
      </c>
      <c r="AM3" s="631">
        <v>4471233.84</v>
      </c>
      <c r="AN3" s="632">
        <v>4.3</v>
      </c>
      <c r="AO3" s="631">
        <v>4473038.16</v>
      </c>
      <c r="AP3" s="632">
        <v>4.32</v>
      </c>
      <c r="AQ3" s="631">
        <v>4474799.5199999996</v>
      </c>
      <c r="AR3" s="632">
        <v>4.3099999999999996</v>
      </c>
      <c r="AS3" s="631">
        <v>4476603.84</v>
      </c>
      <c r="AT3" s="632">
        <v>4.3099999999999996</v>
      </c>
      <c r="AU3" s="631">
        <v>4482274.5599999996</v>
      </c>
      <c r="AV3" s="632">
        <v>4.3099999999999996</v>
      </c>
    </row>
    <row r="4" spans="1:48">
      <c r="A4" s="418" t="s">
        <v>115</v>
      </c>
      <c r="B4" s="58" t="s">
        <v>15</v>
      </c>
      <c r="C4" s="205">
        <v>10092835.779999999</v>
      </c>
      <c r="D4" s="508">
        <v>9.75</v>
      </c>
      <c r="E4" s="205">
        <v>10096740.439999999</v>
      </c>
      <c r="F4" s="508">
        <v>9.7799999999999994</v>
      </c>
      <c r="G4" s="200">
        <v>10109158.01</v>
      </c>
      <c r="H4" s="519">
        <v>9.74</v>
      </c>
      <c r="I4" s="200">
        <v>10116356.939999999</v>
      </c>
      <c r="J4" s="519">
        <v>9.75</v>
      </c>
      <c r="K4" s="205">
        <v>10120354.789999999</v>
      </c>
      <c r="L4" s="507">
        <v>9.81</v>
      </c>
      <c r="M4" s="200">
        <v>10128914.289999999</v>
      </c>
      <c r="N4" s="519">
        <v>9.82</v>
      </c>
      <c r="O4" s="200">
        <v>10133014.65</v>
      </c>
      <c r="P4" s="519">
        <v>9.81</v>
      </c>
      <c r="Q4" s="200">
        <v>10145408.92</v>
      </c>
      <c r="R4" s="519">
        <v>9.81</v>
      </c>
      <c r="S4" s="200">
        <v>10135996.73</v>
      </c>
      <c r="T4" s="519">
        <v>9.82</v>
      </c>
      <c r="U4" s="200">
        <v>10140190.279999999</v>
      </c>
      <c r="V4" s="519">
        <v>9.82</v>
      </c>
      <c r="W4" s="200">
        <v>10144383.83</v>
      </c>
      <c r="X4" s="519">
        <v>9.8000000000000007</v>
      </c>
      <c r="Y4" s="200">
        <v>10148484.189999999</v>
      </c>
      <c r="Z4" s="519">
        <v>9.8000000000000007</v>
      </c>
      <c r="AA4" s="200">
        <v>10161064.84</v>
      </c>
      <c r="AB4" s="519">
        <v>9.82</v>
      </c>
      <c r="AC4" s="200">
        <v>10160319.32</v>
      </c>
      <c r="AD4" s="519">
        <v>9.8000000000000007</v>
      </c>
      <c r="AE4" s="200">
        <v>10164512.869999999</v>
      </c>
      <c r="AF4" s="519">
        <v>9.82</v>
      </c>
      <c r="AG4" s="631">
        <v>10168613.23</v>
      </c>
      <c r="AH4" s="633">
        <v>9.84</v>
      </c>
      <c r="AI4" s="631">
        <v>10172806.779999999</v>
      </c>
      <c r="AJ4" s="633">
        <v>9.81</v>
      </c>
      <c r="AK4" s="631">
        <v>10185294.24</v>
      </c>
      <c r="AL4" s="633">
        <v>9.81</v>
      </c>
      <c r="AM4" s="634">
        <v>10191741.119999999</v>
      </c>
      <c r="AN4" s="695">
        <v>9.81</v>
      </c>
      <c r="AO4" s="634">
        <v>10195273.02</v>
      </c>
      <c r="AP4" s="695">
        <v>9.84</v>
      </c>
      <c r="AQ4" s="631">
        <v>10189208.220000001</v>
      </c>
      <c r="AR4" s="633">
        <v>9.82</v>
      </c>
      <c r="AS4" s="631">
        <v>10193401.77</v>
      </c>
      <c r="AT4" s="633">
        <v>9.82</v>
      </c>
      <c r="AU4" s="631">
        <v>10203932.24</v>
      </c>
      <c r="AV4" s="633">
        <v>9.81</v>
      </c>
    </row>
    <row r="5" spans="1:48">
      <c r="A5" s="418" t="s">
        <v>118</v>
      </c>
      <c r="B5" s="58" t="s">
        <v>15</v>
      </c>
      <c r="C5" s="205">
        <v>8063640</v>
      </c>
      <c r="D5" s="542">
        <v>7.79</v>
      </c>
      <c r="E5" s="205">
        <v>8075121.5999999996</v>
      </c>
      <c r="F5" s="542">
        <v>7.82</v>
      </c>
      <c r="G5" s="200">
        <v>8083530</v>
      </c>
      <c r="H5" s="520">
        <v>7.78</v>
      </c>
      <c r="I5" s="205">
        <v>8096322</v>
      </c>
      <c r="J5" s="508">
        <v>7.8</v>
      </c>
      <c r="K5" s="200">
        <v>8100402.1799999997</v>
      </c>
      <c r="L5" s="520">
        <v>7.85</v>
      </c>
      <c r="M5" s="205">
        <v>8103549.4800000004</v>
      </c>
      <c r="N5" s="508">
        <v>7.85</v>
      </c>
      <c r="O5" s="205">
        <v>8106774.7800000003</v>
      </c>
      <c r="P5" s="508">
        <v>7.85</v>
      </c>
      <c r="Q5" s="205">
        <v>8101553.46</v>
      </c>
      <c r="R5" s="507">
        <v>7.84</v>
      </c>
      <c r="S5" s="205">
        <v>8104856.7599999998</v>
      </c>
      <c r="T5" s="508">
        <v>7.8599999999999994</v>
      </c>
      <c r="U5" s="205">
        <v>8105118.0599999996</v>
      </c>
      <c r="V5" s="508">
        <v>7.85</v>
      </c>
      <c r="W5" s="205">
        <v>8110702.0800000001</v>
      </c>
      <c r="X5" s="508">
        <v>7.84</v>
      </c>
      <c r="Y5" s="205">
        <v>8113986.6600000001</v>
      </c>
      <c r="Z5" s="508">
        <v>7.84</v>
      </c>
      <c r="AA5" s="205">
        <v>8124291.2400000002</v>
      </c>
      <c r="AB5" s="507">
        <v>7.85</v>
      </c>
      <c r="AC5" s="200">
        <v>8130476.6399999997</v>
      </c>
      <c r="AD5" s="519">
        <v>7.85</v>
      </c>
      <c r="AE5" s="200">
        <v>8130579.5999999996</v>
      </c>
      <c r="AF5" s="519">
        <v>7.86</v>
      </c>
      <c r="AG5" s="631">
        <v>8133528</v>
      </c>
      <c r="AH5" s="633">
        <v>7.87</v>
      </c>
      <c r="AI5" s="634">
        <v>8140230.54</v>
      </c>
      <c r="AJ5" s="695">
        <v>7.85</v>
      </c>
      <c r="AK5" s="634">
        <v>8149985.2199999997</v>
      </c>
      <c r="AL5" s="695">
        <v>7.85</v>
      </c>
      <c r="AM5" s="634">
        <v>8144708.5199999996</v>
      </c>
      <c r="AN5" s="695">
        <v>7.84</v>
      </c>
      <c r="AO5" s="634">
        <v>8148011.8200000003</v>
      </c>
      <c r="AP5" s="695">
        <v>7.86</v>
      </c>
      <c r="AQ5" s="634">
        <v>8151315.1200000001</v>
      </c>
      <c r="AR5" s="695">
        <v>7.85</v>
      </c>
      <c r="AS5" s="634">
        <v>8154541.2000000002</v>
      </c>
      <c r="AT5" s="695">
        <v>7.85</v>
      </c>
      <c r="AU5" s="634">
        <v>8164451.0999999996</v>
      </c>
      <c r="AV5" s="695">
        <v>7.85</v>
      </c>
    </row>
    <row r="6" spans="1:48">
      <c r="A6" s="477" t="s">
        <v>124</v>
      </c>
      <c r="B6" s="58" t="s">
        <v>15</v>
      </c>
      <c r="C6" s="200">
        <v>7896957.2300000004</v>
      </c>
      <c r="D6" s="506">
        <v>7.63</v>
      </c>
      <c r="E6" s="205">
        <v>7900539.25</v>
      </c>
      <c r="F6" s="525">
        <v>7.65</v>
      </c>
      <c r="G6" s="200">
        <v>8046500.0800000001</v>
      </c>
      <c r="H6" s="572">
        <v>7.75</v>
      </c>
      <c r="I6" s="200">
        <v>8060425.2999999998</v>
      </c>
      <c r="J6" s="572">
        <v>7.77</v>
      </c>
      <c r="K6" s="205">
        <v>7827917.9199999999</v>
      </c>
      <c r="L6" s="573">
        <v>7.59</v>
      </c>
      <c r="M6" s="577">
        <v>7825199.4299999997</v>
      </c>
      <c r="N6" s="578">
        <v>7.58</v>
      </c>
      <c r="O6" s="577">
        <v>7894685.4000000004</v>
      </c>
      <c r="P6" s="578">
        <v>7.64</v>
      </c>
      <c r="Q6" s="577">
        <v>7905255.4400000004</v>
      </c>
      <c r="R6" s="578">
        <v>7.65</v>
      </c>
      <c r="S6" s="577">
        <v>7778079.6399999997</v>
      </c>
      <c r="T6" s="578">
        <v>7.54</v>
      </c>
      <c r="U6" s="577">
        <v>7912243.4400000004</v>
      </c>
      <c r="V6" s="578">
        <v>7.66</v>
      </c>
      <c r="W6" s="579">
        <v>8058936.4400000004</v>
      </c>
      <c r="X6" s="580">
        <v>7.79</v>
      </c>
      <c r="Y6" s="579">
        <v>8062352.0599999996</v>
      </c>
      <c r="Z6" s="580">
        <v>7.79</v>
      </c>
      <c r="AA6" s="579">
        <v>8072423.7599999998</v>
      </c>
      <c r="AB6" s="580">
        <v>7.8</v>
      </c>
      <c r="AC6" s="579">
        <v>8067782.0199999996</v>
      </c>
      <c r="AD6" s="580">
        <v>7.79</v>
      </c>
      <c r="AE6" s="200">
        <v>7871454.8099999996</v>
      </c>
      <c r="AF6" s="580">
        <v>7.61</v>
      </c>
      <c r="AG6" s="634">
        <v>7875035.96</v>
      </c>
      <c r="AH6" s="635">
        <v>7.62</v>
      </c>
      <c r="AI6" s="631">
        <v>8078028.8799999999</v>
      </c>
      <c r="AJ6" s="636">
        <v>7.79</v>
      </c>
      <c r="AK6" s="631">
        <v>8088363.3200000003</v>
      </c>
      <c r="AL6" s="636">
        <v>7.79</v>
      </c>
      <c r="AM6" s="631">
        <v>8115075.2199999997</v>
      </c>
      <c r="AN6" s="636">
        <v>7.81</v>
      </c>
      <c r="AO6" s="631">
        <v>7954767.04</v>
      </c>
      <c r="AP6" s="636">
        <v>7.67</v>
      </c>
      <c r="AQ6" s="631">
        <v>8121818.8799999999</v>
      </c>
      <c r="AR6" s="636">
        <v>7.83</v>
      </c>
      <c r="AS6" s="631">
        <v>8125146.9199999999</v>
      </c>
      <c r="AT6" s="636">
        <v>7.82</v>
      </c>
      <c r="AU6" s="631">
        <v>8089764.5999999996</v>
      </c>
      <c r="AV6" s="636">
        <v>7.78</v>
      </c>
    </row>
    <row r="7" spans="1:48">
      <c r="A7" s="418" t="s">
        <v>130</v>
      </c>
      <c r="B7" s="58" t="s">
        <v>15</v>
      </c>
      <c r="C7" s="200">
        <v>8523626</v>
      </c>
      <c r="D7" s="506">
        <v>8.24</v>
      </c>
      <c r="E7" s="205">
        <v>8419994.5899999999</v>
      </c>
      <c r="F7" s="525">
        <v>8.15</v>
      </c>
      <c r="G7" s="200">
        <v>8550644</v>
      </c>
      <c r="H7" s="572">
        <v>8.23</v>
      </c>
      <c r="I7" s="205">
        <v>8431361.9000000004</v>
      </c>
      <c r="J7" s="573">
        <v>8.1300000000000008</v>
      </c>
      <c r="K7" s="200">
        <v>8567471</v>
      </c>
      <c r="L7" s="572">
        <v>8.31</v>
      </c>
      <c r="M7" s="579">
        <v>8571026</v>
      </c>
      <c r="N7" s="580">
        <v>8.31</v>
      </c>
      <c r="O7" s="579">
        <v>8574502</v>
      </c>
      <c r="P7" s="580">
        <v>8.3000000000000007</v>
      </c>
      <c r="Q7" s="579">
        <v>8585088</v>
      </c>
      <c r="R7" s="580">
        <v>8.31</v>
      </c>
      <c r="S7" s="579">
        <v>8555858</v>
      </c>
      <c r="T7" s="580">
        <v>8.2899999999999991</v>
      </c>
      <c r="U7" s="579">
        <v>8559413</v>
      </c>
      <c r="V7" s="580">
        <v>8.2799999999999994</v>
      </c>
      <c r="W7" s="579">
        <v>8562968</v>
      </c>
      <c r="X7" s="580">
        <v>8.27</v>
      </c>
      <c r="Y7" s="579">
        <v>8566523</v>
      </c>
      <c r="Z7" s="580">
        <v>8.27</v>
      </c>
      <c r="AA7" s="579">
        <v>8577109</v>
      </c>
      <c r="AB7" s="580">
        <v>8.2799999999999994</v>
      </c>
      <c r="AC7" s="579">
        <v>8570315</v>
      </c>
      <c r="AD7" s="580">
        <v>8.27</v>
      </c>
      <c r="AE7" s="200">
        <v>8573870</v>
      </c>
      <c r="AF7" s="580">
        <v>8.2899999999999991</v>
      </c>
      <c r="AG7" s="631">
        <v>8577504</v>
      </c>
      <c r="AH7" s="636">
        <v>8.3000000000000007</v>
      </c>
      <c r="AI7" s="631">
        <v>8581138</v>
      </c>
      <c r="AJ7" s="636">
        <v>8.2799999999999994</v>
      </c>
      <c r="AK7" s="631">
        <v>8592040</v>
      </c>
      <c r="AL7" s="636">
        <v>8.2799999999999994</v>
      </c>
      <c r="AM7" s="631">
        <v>8621270</v>
      </c>
      <c r="AN7" s="636">
        <v>8.3000000000000007</v>
      </c>
      <c r="AO7" s="631">
        <v>8624825</v>
      </c>
      <c r="AP7" s="636">
        <v>8.32</v>
      </c>
      <c r="AQ7" s="631">
        <v>8628380</v>
      </c>
      <c r="AR7" s="636">
        <v>8.31</v>
      </c>
      <c r="AS7" s="631">
        <v>8631935</v>
      </c>
      <c r="AT7" s="636">
        <v>8.31</v>
      </c>
      <c r="AU7" s="631">
        <v>8594410</v>
      </c>
      <c r="AV7" s="636">
        <v>8.27</v>
      </c>
    </row>
    <row r="8" spans="1:48">
      <c r="A8" s="418" t="s">
        <v>119</v>
      </c>
      <c r="B8" s="58" t="s">
        <v>15</v>
      </c>
      <c r="C8" s="205">
        <v>5134981.5</v>
      </c>
      <c r="D8" s="525">
        <v>4.96</v>
      </c>
      <c r="E8" s="205">
        <v>5057864.46</v>
      </c>
      <c r="F8" s="525">
        <v>4.9000000000000004</v>
      </c>
      <c r="G8" s="200">
        <v>5153098.5</v>
      </c>
      <c r="H8" s="572">
        <v>4.96</v>
      </c>
      <c r="I8" s="200">
        <v>5160028.5</v>
      </c>
      <c r="J8" s="572">
        <v>4.97</v>
      </c>
      <c r="K8" s="200">
        <v>5162107.5</v>
      </c>
      <c r="L8" s="572">
        <v>5</v>
      </c>
      <c r="M8" s="579">
        <v>5164236</v>
      </c>
      <c r="N8" s="580">
        <v>5.01</v>
      </c>
      <c r="O8" s="579">
        <v>5166315</v>
      </c>
      <c r="P8" s="580">
        <v>5</v>
      </c>
      <c r="Q8" s="579">
        <v>5172601.5</v>
      </c>
      <c r="R8" s="580">
        <v>5</v>
      </c>
      <c r="S8" s="579">
        <v>5153940</v>
      </c>
      <c r="T8" s="580">
        <v>4.99</v>
      </c>
      <c r="U8" s="579">
        <v>5156019</v>
      </c>
      <c r="V8" s="580">
        <v>4.99</v>
      </c>
      <c r="W8" s="579">
        <v>5158147.5</v>
      </c>
      <c r="X8" s="580">
        <v>4.9800000000000004</v>
      </c>
      <c r="Y8" s="579">
        <v>5160276</v>
      </c>
      <c r="Z8" s="580">
        <v>4.9800000000000004</v>
      </c>
      <c r="AA8" s="588">
        <v>5070505.7699999996</v>
      </c>
      <c r="AB8" s="589">
        <v>4.9000000000000004</v>
      </c>
      <c r="AC8" s="588">
        <v>5160078</v>
      </c>
      <c r="AD8" s="589">
        <v>4.9800000000000004</v>
      </c>
      <c r="AE8" s="593">
        <v>5162256</v>
      </c>
      <c r="AF8" s="589">
        <v>4.99</v>
      </c>
      <c r="AG8" s="637">
        <v>5054974.1500000004</v>
      </c>
      <c r="AH8" s="638">
        <v>4.8899999999999997</v>
      </c>
      <c r="AI8" s="693">
        <v>5166612</v>
      </c>
      <c r="AJ8" s="694">
        <v>4.9800000000000004</v>
      </c>
      <c r="AK8" s="693">
        <v>5173096.5</v>
      </c>
      <c r="AL8" s="694">
        <v>4.99</v>
      </c>
      <c r="AM8" s="693">
        <v>5194233</v>
      </c>
      <c r="AN8" s="694">
        <v>5.01</v>
      </c>
      <c r="AO8" s="693">
        <v>5196361.5</v>
      </c>
      <c r="AP8" s="694">
        <v>5.01</v>
      </c>
      <c r="AQ8" s="693">
        <v>5198490</v>
      </c>
      <c r="AR8" s="694">
        <v>5.01</v>
      </c>
      <c r="AS8" s="693">
        <v>5200618.5</v>
      </c>
      <c r="AT8" s="694">
        <v>5.01</v>
      </c>
      <c r="AU8" s="693">
        <v>5174284.5</v>
      </c>
      <c r="AV8" s="694">
        <v>4.9800000000000004</v>
      </c>
    </row>
    <row r="9" spans="1:48" ht="16.5" thickBot="1">
      <c r="A9" s="1020" t="s">
        <v>113</v>
      </c>
      <c r="B9" s="1048"/>
      <c r="C9" s="444">
        <f t="shared" ref="C9:H9" si="0">SUM(C2:C8)</f>
        <v>44140529.149999999</v>
      </c>
      <c r="D9" s="444">
        <f t="shared" si="0"/>
        <v>42.65</v>
      </c>
      <c r="E9" s="444">
        <f t="shared" si="0"/>
        <v>50573958.339999996</v>
      </c>
      <c r="F9" s="444">
        <f t="shared" si="0"/>
        <v>48.98</v>
      </c>
      <c r="G9" s="444">
        <f t="shared" si="0"/>
        <v>50988291.350000001</v>
      </c>
      <c r="H9" s="444">
        <f t="shared" si="0"/>
        <v>49.1</v>
      </c>
      <c r="I9" s="444">
        <f t="shared" ref="I9:AV9" si="1">SUM(I2:I8)</f>
        <v>50902264.139999993</v>
      </c>
      <c r="J9" s="444">
        <f t="shared" si="1"/>
        <v>49.06</v>
      </c>
      <c r="K9" s="444">
        <f t="shared" si="1"/>
        <v>50845109.030000001</v>
      </c>
      <c r="L9" s="444">
        <f t="shared" si="1"/>
        <v>49.290000000000006</v>
      </c>
      <c r="M9" s="444">
        <f t="shared" si="1"/>
        <v>50864380.200000003</v>
      </c>
      <c r="N9" s="444">
        <f t="shared" si="1"/>
        <v>49.3</v>
      </c>
      <c r="O9" s="444">
        <f t="shared" si="1"/>
        <v>50951238.730000004</v>
      </c>
      <c r="P9" s="444">
        <f t="shared" si="1"/>
        <v>49.320000000000007</v>
      </c>
      <c r="Q9" s="444">
        <f t="shared" si="1"/>
        <v>50999587.799999997</v>
      </c>
      <c r="R9" s="444">
        <f t="shared" si="1"/>
        <v>49.34</v>
      </c>
      <c r="S9" s="444">
        <f t="shared" si="1"/>
        <v>50801966.390000001</v>
      </c>
      <c r="T9" s="444">
        <f t="shared" si="1"/>
        <v>49.24</v>
      </c>
      <c r="U9" s="444">
        <f t="shared" si="1"/>
        <v>50927341.439999998</v>
      </c>
      <c r="V9" s="444">
        <f t="shared" si="1"/>
        <v>49.300000000000004</v>
      </c>
      <c r="W9" s="444">
        <f t="shared" si="1"/>
        <v>51117614.789999999</v>
      </c>
      <c r="X9" s="444">
        <f t="shared" si="1"/>
        <v>49.39</v>
      </c>
      <c r="Y9" s="444">
        <f t="shared" si="1"/>
        <v>51138698.210000001</v>
      </c>
      <c r="Z9" s="444">
        <f t="shared" si="1"/>
        <v>49.39</v>
      </c>
      <c r="AA9" s="444">
        <f t="shared" si="1"/>
        <v>51106376.450000003</v>
      </c>
      <c r="AB9" s="444">
        <f t="shared" si="1"/>
        <v>49.37</v>
      </c>
      <c r="AC9" s="444">
        <f t="shared" si="1"/>
        <v>51192296.960000001</v>
      </c>
      <c r="AD9" s="444">
        <f t="shared" si="1"/>
        <v>49.41</v>
      </c>
      <c r="AE9" s="444">
        <f t="shared" si="1"/>
        <v>51010598.620000005</v>
      </c>
      <c r="AF9" s="444">
        <f t="shared" si="1"/>
        <v>49.31</v>
      </c>
      <c r="AG9" s="639">
        <f t="shared" si="1"/>
        <v>50922287.5</v>
      </c>
      <c r="AH9" s="639">
        <f t="shared" si="1"/>
        <v>49.269999999999996</v>
      </c>
      <c r="AI9" s="639">
        <f t="shared" si="1"/>
        <v>51256047.719999999</v>
      </c>
      <c r="AJ9" s="639">
        <f t="shared" si="1"/>
        <v>49.430000000000007</v>
      </c>
      <c r="AK9" s="639">
        <f t="shared" si="1"/>
        <v>51319851.839999996</v>
      </c>
      <c r="AL9" s="639">
        <f t="shared" si="1"/>
        <v>49.45</v>
      </c>
      <c r="AM9" s="639">
        <f t="shared" si="1"/>
        <v>51398080.200000003</v>
      </c>
      <c r="AN9" s="639">
        <f t="shared" si="1"/>
        <v>49.48</v>
      </c>
      <c r="AO9" s="639">
        <f t="shared" si="1"/>
        <v>51254933.039999999</v>
      </c>
      <c r="AP9" s="639">
        <f t="shared" si="1"/>
        <v>49.449999999999996</v>
      </c>
      <c r="AQ9" s="639">
        <f t="shared" si="1"/>
        <v>51372067.700000003</v>
      </c>
      <c r="AR9" s="639">
        <f t="shared" si="1"/>
        <v>49.5</v>
      </c>
      <c r="AS9" s="639">
        <f t="shared" si="1"/>
        <v>51450515.229999997</v>
      </c>
      <c r="AT9" s="639">
        <f t="shared" si="1"/>
        <v>49.54</v>
      </c>
      <c r="AU9" s="639">
        <f t="shared" si="1"/>
        <v>51373063.5</v>
      </c>
      <c r="AV9" s="639">
        <f t="shared" si="1"/>
        <v>49.410000000000011</v>
      </c>
    </row>
    <row r="10" spans="1:48" ht="15">
      <c r="A10" s="419" t="s">
        <v>25</v>
      </c>
      <c r="B10" s="422" t="s">
        <v>26</v>
      </c>
      <c r="C10" s="452">
        <v>3877667.78</v>
      </c>
      <c r="D10" s="448">
        <v>3.75</v>
      </c>
      <c r="E10" s="452">
        <v>3879025.08</v>
      </c>
      <c r="F10" s="448">
        <v>3.76</v>
      </c>
      <c r="G10" s="452">
        <v>3884459.2</v>
      </c>
      <c r="H10" s="448">
        <v>3.74</v>
      </c>
      <c r="I10" s="452">
        <v>3885818.77</v>
      </c>
      <c r="J10" s="448">
        <v>3.74</v>
      </c>
      <c r="K10" s="452">
        <v>3887179.1</v>
      </c>
      <c r="L10" s="448">
        <v>3.77</v>
      </c>
      <c r="M10" s="452">
        <v>3888539.81</v>
      </c>
      <c r="N10" s="448">
        <v>3.77</v>
      </c>
      <c r="O10" s="452">
        <v>3889900.9</v>
      </c>
      <c r="P10" s="448">
        <v>3.77</v>
      </c>
      <c r="Q10" s="452">
        <v>3893987.18</v>
      </c>
      <c r="R10" s="448">
        <v>3.77</v>
      </c>
      <c r="S10" s="452">
        <v>3895350.16</v>
      </c>
      <c r="T10" s="448">
        <v>3.78</v>
      </c>
      <c r="U10" s="452">
        <v>3896713.52</v>
      </c>
      <c r="V10" s="448">
        <v>3.77</v>
      </c>
      <c r="W10" s="452">
        <v>3898077.63</v>
      </c>
      <c r="X10" s="448">
        <v>3.7600000000000002</v>
      </c>
      <c r="Y10" s="452">
        <v>3899442.12</v>
      </c>
      <c r="Z10" s="448">
        <v>3.77</v>
      </c>
      <c r="AA10" s="452">
        <v>3903538.25</v>
      </c>
      <c r="AB10" s="448">
        <v>3.77</v>
      </c>
      <c r="AC10" s="452">
        <v>3904904.64</v>
      </c>
      <c r="AD10" s="448">
        <v>3.77</v>
      </c>
      <c r="AE10" s="594">
        <v>3785000</v>
      </c>
      <c r="AF10" s="448">
        <v>3.66</v>
      </c>
      <c r="AG10" s="640">
        <v>3786489.78</v>
      </c>
      <c r="AH10" s="641">
        <v>3.66</v>
      </c>
      <c r="AI10" s="640">
        <v>3787980.31</v>
      </c>
      <c r="AJ10" s="641">
        <v>3.65</v>
      </c>
      <c r="AK10" s="640">
        <v>3792455.32</v>
      </c>
      <c r="AL10" s="641">
        <v>3.65</v>
      </c>
      <c r="AM10" s="640">
        <v>3793948.49</v>
      </c>
      <c r="AN10" s="641">
        <v>3.65</v>
      </c>
      <c r="AO10" s="452">
        <v>3795441.68</v>
      </c>
      <c r="AP10" s="448">
        <v>3.66</v>
      </c>
      <c r="AQ10" s="452">
        <v>3796936</v>
      </c>
      <c r="AR10" s="448">
        <v>3.66</v>
      </c>
      <c r="AS10" s="452">
        <v>3798430.32</v>
      </c>
      <c r="AT10" s="448">
        <v>3.66</v>
      </c>
      <c r="AU10" s="452">
        <v>3802917.81</v>
      </c>
      <c r="AV10" s="448">
        <v>3.66</v>
      </c>
    </row>
    <row r="11" spans="1:48" ht="15">
      <c r="A11" s="419" t="s">
        <v>116</v>
      </c>
      <c r="B11" s="422" t="s">
        <v>117</v>
      </c>
      <c r="C11" s="451">
        <v>2469415.5499999998</v>
      </c>
      <c r="D11" s="448">
        <v>2.3800000000000003</v>
      </c>
      <c r="E11" s="451">
        <v>2470542.17</v>
      </c>
      <c r="F11" s="448">
        <v>2.39</v>
      </c>
      <c r="G11" s="451">
        <v>2475053.66</v>
      </c>
      <c r="H11" s="448">
        <v>2.38</v>
      </c>
      <c r="I11" s="451">
        <v>2476182.91</v>
      </c>
      <c r="J11" s="448">
        <v>2.39</v>
      </c>
      <c r="K11" s="451">
        <v>2477312.63</v>
      </c>
      <c r="L11" s="448">
        <v>2.4</v>
      </c>
      <c r="M11" s="451">
        <v>2478442.61</v>
      </c>
      <c r="N11" s="448">
        <v>2.4</v>
      </c>
      <c r="O11" s="451">
        <v>2479573.5299999998</v>
      </c>
      <c r="P11" s="448">
        <v>2.4</v>
      </c>
      <c r="Q11" s="451">
        <v>2482968.7000000002</v>
      </c>
      <c r="R11" s="448">
        <v>2.4</v>
      </c>
      <c r="S11" s="451">
        <v>2484101.54</v>
      </c>
      <c r="T11" s="448">
        <v>2.41</v>
      </c>
      <c r="U11" s="451">
        <v>2485234.86</v>
      </c>
      <c r="V11" s="448">
        <v>2.41</v>
      </c>
      <c r="W11" s="451">
        <v>2486368.66</v>
      </c>
      <c r="X11" s="448">
        <v>2.4</v>
      </c>
      <c r="Y11" s="451">
        <v>2487502.94</v>
      </c>
      <c r="Z11" s="448">
        <v>2.4</v>
      </c>
      <c r="AA11" s="451">
        <v>2490909.12</v>
      </c>
      <c r="AB11" s="448">
        <v>2.41</v>
      </c>
      <c r="AC11" s="451">
        <v>2492045.31</v>
      </c>
      <c r="AD11" s="448">
        <v>2.4000000000000004</v>
      </c>
      <c r="AE11" s="595">
        <v>2493182.23</v>
      </c>
      <c r="AF11" s="448">
        <v>2.41</v>
      </c>
      <c r="AG11" s="642">
        <v>2494319.85</v>
      </c>
      <c r="AH11" s="641">
        <v>2.41</v>
      </c>
      <c r="AI11" s="642">
        <v>2394000</v>
      </c>
      <c r="AJ11" s="641">
        <v>2.31</v>
      </c>
      <c r="AK11" s="642">
        <v>2397278.1</v>
      </c>
      <c r="AL11" s="641">
        <v>2.31</v>
      </c>
      <c r="AM11" s="642">
        <v>2398371.69</v>
      </c>
      <c r="AN11" s="641">
        <v>2.31</v>
      </c>
      <c r="AO11" s="451">
        <v>2399465.98</v>
      </c>
      <c r="AP11" s="448">
        <v>2.31</v>
      </c>
      <c r="AQ11" s="451">
        <v>2400560.52</v>
      </c>
      <c r="AR11" s="448">
        <v>2.3199999999999998</v>
      </c>
      <c r="AS11" s="451">
        <v>2401655.77</v>
      </c>
      <c r="AT11" s="448">
        <v>2.31</v>
      </c>
      <c r="AU11" s="451">
        <v>2404944.41</v>
      </c>
      <c r="AV11" s="448">
        <v>2.31</v>
      </c>
    </row>
    <row r="12" spans="1:48" ht="15">
      <c r="A12" s="497"/>
      <c r="B12" s="498"/>
      <c r="C12" s="451">
        <v>0</v>
      </c>
      <c r="D12" s="449">
        <v>0</v>
      </c>
      <c r="E12" s="451">
        <v>0</v>
      </c>
      <c r="F12" s="449">
        <v>0</v>
      </c>
      <c r="G12" s="451">
        <v>0</v>
      </c>
      <c r="H12" s="449">
        <v>0</v>
      </c>
      <c r="I12" s="451">
        <v>0</v>
      </c>
      <c r="J12" s="449">
        <v>0</v>
      </c>
      <c r="K12" s="451">
        <v>0</v>
      </c>
      <c r="L12" s="449">
        <v>0</v>
      </c>
      <c r="M12" s="451">
        <v>0</v>
      </c>
      <c r="N12" s="449">
        <v>0</v>
      </c>
      <c r="O12" s="451">
        <v>0</v>
      </c>
      <c r="P12" s="449">
        <v>0</v>
      </c>
      <c r="Q12" s="451">
        <v>0</v>
      </c>
      <c r="R12" s="449">
        <v>0</v>
      </c>
      <c r="S12" s="451">
        <v>0</v>
      </c>
      <c r="T12" s="449">
        <v>0</v>
      </c>
      <c r="U12" s="451">
        <v>0</v>
      </c>
      <c r="V12" s="449">
        <v>0</v>
      </c>
      <c r="W12" s="451">
        <v>0</v>
      </c>
      <c r="X12" s="449">
        <v>0</v>
      </c>
      <c r="Y12" s="451">
        <v>0</v>
      </c>
      <c r="Z12" s="449">
        <v>0</v>
      </c>
      <c r="AA12" s="451">
        <v>0</v>
      </c>
      <c r="AB12" s="449">
        <v>0</v>
      </c>
      <c r="AC12" s="451">
        <v>0</v>
      </c>
      <c r="AD12" s="449">
        <v>0</v>
      </c>
      <c r="AE12" s="595">
        <v>0</v>
      </c>
      <c r="AF12" s="449">
        <v>0</v>
      </c>
      <c r="AG12" s="642">
        <v>0</v>
      </c>
      <c r="AH12" s="643">
        <v>0</v>
      </c>
      <c r="AI12" s="642">
        <v>0</v>
      </c>
      <c r="AJ12" s="643">
        <v>0</v>
      </c>
      <c r="AK12" s="642">
        <v>0</v>
      </c>
      <c r="AL12" s="643">
        <v>0</v>
      </c>
      <c r="AM12" s="642">
        <v>0</v>
      </c>
      <c r="AN12" s="643">
        <v>0</v>
      </c>
      <c r="AO12" s="451">
        <v>0</v>
      </c>
      <c r="AP12" s="449">
        <v>0</v>
      </c>
      <c r="AQ12" s="451">
        <v>0</v>
      </c>
      <c r="AR12" s="449">
        <v>0</v>
      </c>
      <c r="AS12" s="451">
        <v>0</v>
      </c>
      <c r="AT12" s="449">
        <v>0</v>
      </c>
      <c r="AU12" s="451">
        <v>0</v>
      </c>
      <c r="AV12" s="449">
        <v>0</v>
      </c>
    </row>
    <row r="13" spans="1:48" ht="15">
      <c r="A13" s="420" t="s">
        <v>38</v>
      </c>
      <c r="B13" s="420" t="s">
        <v>39</v>
      </c>
      <c r="C13" s="450">
        <v>4095684.8</v>
      </c>
      <c r="D13" s="449">
        <v>3.96</v>
      </c>
      <c r="E13" s="450">
        <v>4097661.2</v>
      </c>
      <c r="F13" s="449">
        <v>3.97</v>
      </c>
      <c r="G13" s="450">
        <v>4105576.4</v>
      </c>
      <c r="H13" s="449">
        <v>3.95</v>
      </c>
      <c r="I13" s="450">
        <v>4107557.6</v>
      </c>
      <c r="J13" s="449">
        <v>3.96</v>
      </c>
      <c r="K13" s="450">
        <v>4109539.6</v>
      </c>
      <c r="L13" s="449">
        <v>3.98</v>
      </c>
      <c r="M13" s="450">
        <v>4111522.8</v>
      </c>
      <c r="N13" s="449">
        <v>3.98</v>
      </c>
      <c r="O13" s="450">
        <v>4113506.8</v>
      </c>
      <c r="P13" s="449">
        <v>3.98</v>
      </c>
      <c r="Q13" s="450">
        <v>4119464.8</v>
      </c>
      <c r="R13" s="449">
        <v>3.9800000000000004</v>
      </c>
      <c r="S13" s="450">
        <v>4121452.4</v>
      </c>
      <c r="T13" s="449">
        <v>3.99</v>
      </c>
      <c r="U13" s="450">
        <v>4123441.2</v>
      </c>
      <c r="V13" s="449">
        <v>3.99</v>
      </c>
      <c r="W13" s="450">
        <v>4125431.2</v>
      </c>
      <c r="X13" s="449">
        <v>3.99</v>
      </c>
      <c r="Y13" s="450">
        <v>4127422</v>
      </c>
      <c r="Z13" s="449">
        <v>3.99</v>
      </c>
      <c r="AA13" s="450">
        <v>4133400</v>
      </c>
      <c r="AB13" s="449">
        <v>3.99</v>
      </c>
      <c r="AC13" s="450">
        <v>4135394.4</v>
      </c>
      <c r="AD13" s="449">
        <v>3.99</v>
      </c>
      <c r="AE13" s="596">
        <v>4137390</v>
      </c>
      <c r="AF13" s="449">
        <v>4</v>
      </c>
      <c r="AG13" s="644">
        <v>4139386.4</v>
      </c>
      <c r="AH13" s="643">
        <v>4.01</v>
      </c>
      <c r="AI13" s="644">
        <v>4141384</v>
      </c>
      <c r="AJ13" s="643">
        <v>3.99</v>
      </c>
      <c r="AK13" s="644">
        <v>4147382.4</v>
      </c>
      <c r="AL13" s="643">
        <v>4</v>
      </c>
      <c r="AM13" s="644">
        <v>4149383.6</v>
      </c>
      <c r="AN13" s="643">
        <v>4</v>
      </c>
      <c r="AO13" s="450">
        <v>4151386</v>
      </c>
      <c r="AP13" s="449">
        <v>4.01</v>
      </c>
      <c r="AQ13" s="450">
        <v>4153389.2</v>
      </c>
      <c r="AR13" s="449">
        <v>4</v>
      </c>
      <c r="AS13" s="450">
        <v>4155393.6</v>
      </c>
      <c r="AT13" s="449">
        <v>4</v>
      </c>
      <c r="AU13" s="450">
        <v>4161412</v>
      </c>
      <c r="AV13" s="449">
        <v>4</v>
      </c>
    </row>
    <row r="14" spans="1:48" thickBot="1">
      <c r="A14" s="421" t="s">
        <v>98</v>
      </c>
      <c r="B14" s="421" t="s">
        <v>99</v>
      </c>
      <c r="C14" s="453">
        <v>3010651.8</v>
      </c>
      <c r="D14" s="448">
        <v>2.91</v>
      </c>
      <c r="E14" s="453">
        <v>3011985.9</v>
      </c>
      <c r="F14" s="448">
        <v>2.92</v>
      </c>
      <c r="G14" s="453">
        <v>3017328.3</v>
      </c>
      <c r="H14" s="448">
        <v>2.91</v>
      </c>
      <c r="I14" s="453">
        <v>3018665.4</v>
      </c>
      <c r="J14" s="448">
        <v>2.91</v>
      </c>
      <c r="K14" s="453">
        <v>3020003.1</v>
      </c>
      <c r="L14" s="448">
        <v>2.93</v>
      </c>
      <c r="M14" s="453">
        <v>3021341.4</v>
      </c>
      <c r="N14" s="448">
        <v>2.93</v>
      </c>
      <c r="O14" s="453">
        <v>3022680</v>
      </c>
      <c r="P14" s="448">
        <v>2.93</v>
      </c>
      <c r="Q14" s="453">
        <v>3026700.3</v>
      </c>
      <c r="R14" s="448">
        <v>2.93</v>
      </c>
      <c r="S14" s="453">
        <v>3028041.6</v>
      </c>
      <c r="T14" s="448">
        <v>2.93</v>
      </c>
      <c r="U14" s="453">
        <v>3029383.2</v>
      </c>
      <c r="V14" s="448">
        <v>2.94</v>
      </c>
      <c r="W14" s="453">
        <v>3030725.7</v>
      </c>
      <c r="X14" s="448">
        <v>2.93</v>
      </c>
      <c r="Y14" s="453">
        <v>3032068.8</v>
      </c>
      <c r="Z14" s="448">
        <v>2.93</v>
      </c>
      <c r="AA14" s="453">
        <v>3036101.4</v>
      </c>
      <c r="AB14" s="448">
        <v>2.93</v>
      </c>
      <c r="AC14" s="453">
        <v>3037446.9</v>
      </c>
      <c r="AD14" s="448">
        <v>2.93</v>
      </c>
      <c r="AE14" s="597">
        <v>3038792.7</v>
      </c>
      <c r="AF14" s="448">
        <v>2.94</v>
      </c>
      <c r="AG14" s="645">
        <v>3040139.4</v>
      </c>
      <c r="AH14" s="641">
        <v>2.94</v>
      </c>
      <c r="AI14" s="645">
        <v>3041486.7</v>
      </c>
      <c r="AJ14" s="641">
        <v>2.93</v>
      </c>
      <c r="AK14" s="645">
        <v>3045531.6</v>
      </c>
      <c r="AL14" s="641">
        <v>2.93</v>
      </c>
      <c r="AM14" s="645">
        <v>3046881.3</v>
      </c>
      <c r="AN14" s="641">
        <v>2.93</v>
      </c>
      <c r="AO14" s="453">
        <v>3048231.6</v>
      </c>
      <c r="AP14" s="448">
        <v>2.94</v>
      </c>
      <c r="AQ14" s="453">
        <v>3049582.2</v>
      </c>
      <c r="AR14" s="448">
        <v>2.94</v>
      </c>
      <c r="AS14" s="453">
        <v>3050933.7</v>
      </c>
      <c r="AT14" s="448">
        <v>2.94</v>
      </c>
      <c r="AU14" s="453">
        <v>3054991.5</v>
      </c>
      <c r="AV14" s="448">
        <v>2.94</v>
      </c>
    </row>
    <row r="15" spans="1:48" ht="16.5" thickBot="1">
      <c r="A15" s="1022" t="s">
        <v>114</v>
      </c>
      <c r="B15" s="1047"/>
      <c r="C15" s="427">
        <f t="shared" ref="C15:H15" si="2">SUM(C10:C14)</f>
        <v>13453419.93</v>
      </c>
      <c r="D15" s="427">
        <f t="shared" si="2"/>
        <v>13</v>
      </c>
      <c r="E15" s="427">
        <f t="shared" si="2"/>
        <v>13459214.35</v>
      </c>
      <c r="F15" s="427">
        <f t="shared" si="2"/>
        <v>13.040000000000001</v>
      </c>
      <c r="G15" s="427">
        <f t="shared" si="2"/>
        <v>13482417.559999999</v>
      </c>
      <c r="H15" s="427">
        <f t="shared" si="2"/>
        <v>12.98</v>
      </c>
      <c r="I15" s="427">
        <f t="shared" ref="I15:AV15" si="3">SUM(I10:I14)</f>
        <v>13488224.68</v>
      </c>
      <c r="J15" s="427">
        <f t="shared" si="3"/>
        <v>13</v>
      </c>
      <c r="K15" s="427">
        <f t="shared" si="3"/>
        <v>13494034.43</v>
      </c>
      <c r="L15" s="427">
        <f t="shared" si="3"/>
        <v>13.08</v>
      </c>
      <c r="M15" s="427">
        <f t="shared" si="3"/>
        <v>13499846.619999999</v>
      </c>
      <c r="N15" s="427">
        <f t="shared" si="3"/>
        <v>13.08</v>
      </c>
      <c r="O15" s="427">
        <f t="shared" si="3"/>
        <v>13505661.23</v>
      </c>
      <c r="P15" s="427">
        <f t="shared" si="3"/>
        <v>13.08</v>
      </c>
      <c r="Q15" s="427">
        <f t="shared" si="3"/>
        <v>13523120.98</v>
      </c>
      <c r="R15" s="427">
        <f t="shared" si="3"/>
        <v>13.08</v>
      </c>
      <c r="S15" s="427">
        <f t="shared" si="3"/>
        <v>13528945.699999999</v>
      </c>
      <c r="T15" s="427">
        <f t="shared" si="3"/>
        <v>13.11</v>
      </c>
      <c r="U15" s="427">
        <f t="shared" si="3"/>
        <v>13534772.780000001</v>
      </c>
      <c r="V15" s="427">
        <f t="shared" si="3"/>
        <v>13.11</v>
      </c>
      <c r="W15" s="427">
        <f t="shared" si="3"/>
        <v>13540603.190000001</v>
      </c>
      <c r="X15" s="427">
        <f t="shared" si="3"/>
        <v>13.08</v>
      </c>
      <c r="Y15" s="427">
        <f t="shared" si="3"/>
        <v>13546435.859999999</v>
      </c>
      <c r="Z15" s="427">
        <f t="shared" si="3"/>
        <v>13.09</v>
      </c>
      <c r="AA15" s="427">
        <f t="shared" si="3"/>
        <v>13563948.770000001</v>
      </c>
      <c r="AB15" s="427">
        <f t="shared" si="3"/>
        <v>13.1</v>
      </c>
      <c r="AC15" s="427">
        <f t="shared" si="3"/>
        <v>13569791.25</v>
      </c>
      <c r="AD15" s="427">
        <f t="shared" si="3"/>
        <v>13.09</v>
      </c>
      <c r="AE15" s="598">
        <f t="shared" si="3"/>
        <v>13454364.93</v>
      </c>
      <c r="AF15" s="427">
        <f t="shared" si="3"/>
        <v>13.01</v>
      </c>
      <c r="AG15" s="646">
        <f t="shared" si="3"/>
        <v>13460335.43</v>
      </c>
      <c r="AH15" s="646">
        <f t="shared" si="3"/>
        <v>13.02</v>
      </c>
      <c r="AI15" s="646">
        <f t="shared" si="3"/>
        <v>13364851.010000002</v>
      </c>
      <c r="AJ15" s="646">
        <f t="shared" si="3"/>
        <v>12.879999999999999</v>
      </c>
      <c r="AK15" s="646">
        <f t="shared" si="3"/>
        <v>13382647.42</v>
      </c>
      <c r="AL15" s="646">
        <f t="shared" si="3"/>
        <v>12.89</v>
      </c>
      <c r="AM15" s="646">
        <f t="shared" si="3"/>
        <v>13388585.079999998</v>
      </c>
      <c r="AN15" s="646">
        <f t="shared" si="3"/>
        <v>12.89</v>
      </c>
      <c r="AO15" s="646">
        <f t="shared" si="3"/>
        <v>13394525.26</v>
      </c>
      <c r="AP15" s="646">
        <f t="shared" si="3"/>
        <v>12.92</v>
      </c>
      <c r="AQ15" s="646">
        <f t="shared" si="3"/>
        <v>13400467.919999998</v>
      </c>
      <c r="AR15" s="646">
        <f t="shared" si="3"/>
        <v>12.92</v>
      </c>
      <c r="AS15" s="646">
        <f t="shared" si="3"/>
        <v>13406413.390000001</v>
      </c>
      <c r="AT15" s="646">
        <f t="shared" si="3"/>
        <v>12.91</v>
      </c>
      <c r="AU15" s="646">
        <f t="shared" si="3"/>
        <v>13424265.720000001</v>
      </c>
      <c r="AV15" s="646">
        <f t="shared" si="3"/>
        <v>12.91</v>
      </c>
    </row>
    <row r="16" spans="1:48" ht="31.5">
      <c r="A16" s="77" t="s">
        <v>41</v>
      </c>
      <c r="B16" s="78" t="s">
        <v>42</v>
      </c>
      <c r="C16" s="407"/>
      <c r="D16" s="428"/>
      <c r="E16" s="407"/>
      <c r="F16" s="428"/>
      <c r="G16" s="407"/>
      <c r="H16" s="428"/>
      <c r="I16" s="407"/>
      <c r="J16" s="428"/>
      <c r="K16" s="407"/>
      <c r="L16" s="428"/>
      <c r="M16" s="407"/>
      <c r="N16" s="428"/>
      <c r="O16" s="407"/>
      <c r="P16" s="428"/>
      <c r="Q16" s="407"/>
      <c r="R16" s="428"/>
      <c r="S16" s="407"/>
      <c r="T16" s="428"/>
      <c r="U16" s="407"/>
      <c r="V16" s="428"/>
      <c r="W16" s="407"/>
      <c r="X16" s="428"/>
      <c r="Y16" s="407"/>
      <c r="Z16" s="428"/>
      <c r="AA16" s="407"/>
      <c r="AB16" s="428"/>
      <c r="AC16" s="407"/>
      <c r="AD16" s="428"/>
      <c r="AE16" s="599"/>
      <c r="AF16" s="428"/>
      <c r="AG16" s="647"/>
      <c r="AH16" s="648"/>
      <c r="AI16" s="647"/>
      <c r="AJ16" s="648"/>
      <c r="AK16" s="647"/>
      <c r="AL16" s="648"/>
      <c r="AM16" s="647"/>
      <c r="AN16" s="648"/>
      <c r="AO16" s="647"/>
      <c r="AP16" s="648"/>
      <c r="AQ16" s="647"/>
      <c r="AR16" s="648"/>
      <c r="AS16" s="647"/>
      <c r="AT16" s="648"/>
      <c r="AU16" s="647"/>
      <c r="AV16" s="648"/>
    </row>
    <row r="17" spans="1:48" ht="16.5" thickBot="1">
      <c r="A17" s="460">
        <v>22048622</v>
      </c>
      <c r="B17" s="461" t="s">
        <v>121</v>
      </c>
      <c r="C17" s="462">
        <v>1706400</v>
      </c>
      <c r="D17" s="428">
        <v>1.65</v>
      </c>
      <c r="E17" s="462">
        <v>1706400</v>
      </c>
      <c r="F17" s="428">
        <v>1.65</v>
      </c>
      <c r="G17" s="462">
        <v>1706400</v>
      </c>
      <c r="H17" s="428">
        <v>1.64</v>
      </c>
      <c r="I17" s="462">
        <v>1706400</v>
      </c>
      <c r="J17" s="428">
        <v>1.65</v>
      </c>
      <c r="K17" s="462">
        <v>1706400</v>
      </c>
      <c r="L17" s="428">
        <v>1.65</v>
      </c>
      <c r="M17" s="462">
        <v>1706400</v>
      </c>
      <c r="N17" s="428">
        <v>1.65</v>
      </c>
      <c r="O17" s="462">
        <v>1706400</v>
      </c>
      <c r="P17" s="428">
        <v>1.65</v>
      </c>
      <c r="Q17" s="462">
        <v>1706400</v>
      </c>
      <c r="R17" s="428">
        <v>1.65</v>
      </c>
      <c r="S17" s="462">
        <v>1706400</v>
      </c>
      <c r="T17" s="428">
        <v>1.65</v>
      </c>
      <c r="U17" s="462">
        <v>1706400</v>
      </c>
      <c r="V17" s="428">
        <v>1.65</v>
      </c>
      <c r="W17" s="462">
        <v>1706400</v>
      </c>
      <c r="X17" s="428">
        <v>1.65</v>
      </c>
      <c r="Y17" s="462">
        <v>1706400</v>
      </c>
      <c r="Z17" s="428">
        <v>1.65</v>
      </c>
      <c r="AA17" s="462">
        <v>1706400</v>
      </c>
      <c r="AB17" s="428">
        <v>1.65</v>
      </c>
      <c r="AC17" s="462">
        <v>1706400</v>
      </c>
      <c r="AD17" s="428">
        <v>1.65</v>
      </c>
      <c r="AE17" s="600">
        <v>1706400</v>
      </c>
      <c r="AF17" s="428">
        <v>1.65</v>
      </c>
      <c r="AG17" s="649">
        <v>1706400</v>
      </c>
      <c r="AH17" s="648">
        <v>1.65</v>
      </c>
      <c r="AI17" s="649">
        <v>1706400</v>
      </c>
      <c r="AJ17" s="648">
        <v>1.65</v>
      </c>
      <c r="AK17" s="649">
        <v>1706400</v>
      </c>
      <c r="AL17" s="648">
        <v>1.64</v>
      </c>
      <c r="AM17" s="649">
        <v>1706400</v>
      </c>
      <c r="AN17" s="648">
        <v>1.64</v>
      </c>
      <c r="AO17" s="649">
        <v>1706400</v>
      </c>
      <c r="AP17" s="648">
        <v>1.65</v>
      </c>
      <c r="AQ17" s="649">
        <v>1706400</v>
      </c>
      <c r="AR17" s="648">
        <v>1.65</v>
      </c>
      <c r="AS17" s="649">
        <v>1706400</v>
      </c>
      <c r="AT17" s="648">
        <v>1.65</v>
      </c>
      <c r="AU17" s="649">
        <v>1706400</v>
      </c>
      <c r="AV17" s="648">
        <v>1.65</v>
      </c>
    </row>
    <row r="18" spans="1:48" ht="16.5" thickBot="1">
      <c r="A18" s="1039" t="s">
        <v>112</v>
      </c>
      <c r="B18" s="1039"/>
      <c r="C18" s="408">
        <f>SUM(C16:C17)</f>
        <v>1706400</v>
      </c>
      <c r="D18" s="408">
        <f>D17</f>
        <v>1.65</v>
      </c>
      <c r="E18" s="408">
        <f>SUM(E16:E17)</f>
        <v>1706400</v>
      </c>
      <c r="F18" s="408">
        <f>F17</f>
        <v>1.65</v>
      </c>
      <c r="G18" s="408">
        <f>SUM(G16:G17)</f>
        <v>1706400</v>
      </c>
      <c r="H18" s="408">
        <f>H17</f>
        <v>1.64</v>
      </c>
      <c r="I18" s="408">
        <f>SUM(I16:I17)</f>
        <v>1706400</v>
      </c>
      <c r="J18" s="408">
        <f>J17</f>
        <v>1.65</v>
      </c>
      <c r="K18" s="408">
        <f>SUM(K16:K17)</f>
        <v>1706400</v>
      </c>
      <c r="L18" s="408">
        <f>L17</f>
        <v>1.65</v>
      </c>
      <c r="M18" s="408">
        <f>SUM(M16:M17)</f>
        <v>1706400</v>
      </c>
      <c r="N18" s="408">
        <f>N17</f>
        <v>1.65</v>
      </c>
      <c r="O18" s="408">
        <f>SUM(O16:O17)</f>
        <v>1706400</v>
      </c>
      <c r="P18" s="408">
        <f>P17</f>
        <v>1.65</v>
      </c>
      <c r="Q18" s="408">
        <f>SUM(Q16:Q17)</f>
        <v>1706400</v>
      </c>
      <c r="R18" s="408">
        <f>R17</f>
        <v>1.65</v>
      </c>
      <c r="S18" s="408">
        <f>SUM(S16:S17)</f>
        <v>1706400</v>
      </c>
      <c r="T18" s="408">
        <f>T17</f>
        <v>1.65</v>
      </c>
      <c r="U18" s="408">
        <f>SUM(U16:U17)</f>
        <v>1706400</v>
      </c>
      <c r="V18" s="408">
        <f>V17</f>
        <v>1.65</v>
      </c>
      <c r="W18" s="408">
        <f>SUM(W16:W17)</f>
        <v>1706400</v>
      </c>
      <c r="X18" s="408">
        <f>X17</f>
        <v>1.65</v>
      </c>
      <c r="Y18" s="408">
        <f>SUM(Y16:Y17)</f>
        <v>1706400</v>
      </c>
      <c r="Z18" s="408">
        <f>Z17</f>
        <v>1.65</v>
      </c>
      <c r="AA18" s="408">
        <f>SUM(AA16:AA17)</f>
        <v>1706400</v>
      </c>
      <c r="AB18" s="408">
        <f>AB17</f>
        <v>1.65</v>
      </c>
      <c r="AC18" s="408">
        <f>SUM(AC16:AC17)</f>
        <v>1706400</v>
      </c>
      <c r="AD18" s="408">
        <f>AD17</f>
        <v>1.65</v>
      </c>
      <c r="AE18" s="601">
        <f>SUM(AE16:AE17)</f>
        <v>1706400</v>
      </c>
      <c r="AF18" s="408">
        <f>AF17</f>
        <v>1.65</v>
      </c>
      <c r="AG18" s="650">
        <f>SUM(AG16:AG17)</f>
        <v>1706400</v>
      </c>
      <c r="AH18" s="650">
        <f>AH17</f>
        <v>1.65</v>
      </c>
      <c r="AI18" s="650">
        <f>SUM(AI16:AI17)</f>
        <v>1706400</v>
      </c>
      <c r="AJ18" s="650">
        <f>AJ17</f>
        <v>1.65</v>
      </c>
      <c r="AK18" s="650">
        <f>SUM(AK16:AK17)</f>
        <v>1706400</v>
      </c>
      <c r="AL18" s="650">
        <f>AL17</f>
        <v>1.64</v>
      </c>
      <c r="AM18" s="650">
        <f>SUM(AM16:AM17)</f>
        <v>1706400</v>
      </c>
      <c r="AN18" s="650">
        <f>AN17</f>
        <v>1.64</v>
      </c>
      <c r="AO18" s="650">
        <f>SUM(AO16:AO17)</f>
        <v>1706400</v>
      </c>
      <c r="AP18" s="650">
        <f>AP17</f>
        <v>1.65</v>
      </c>
      <c r="AQ18" s="650">
        <f>SUM(AQ16:AQ17)</f>
        <v>1706400</v>
      </c>
      <c r="AR18" s="650">
        <f>AR17</f>
        <v>1.65</v>
      </c>
      <c r="AS18" s="650">
        <f>SUM(AS16:AS17)</f>
        <v>1706400</v>
      </c>
      <c r="AT18" s="650">
        <f>AT17</f>
        <v>1.65</v>
      </c>
      <c r="AU18" s="650">
        <f>SUM(AU16:AU17)</f>
        <v>1706400</v>
      </c>
      <c r="AV18" s="650">
        <f>AV17</f>
        <v>1.65</v>
      </c>
    </row>
    <row r="19" spans="1:48">
      <c r="A19" s="447" t="s">
        <v>106</v>
      </c>
      <c r="B19" s="446"/>
      <c r="C19" s="429">
        <v>550495</v>
      </c>
      <c r="D19" s="454">
        <v>0.53</v>
      </c>
      <c r="E19" s="429">
        <v>550495</v>
      </c>
      <c r="F19" s="454">
        <v>0.53</v>
      </c>
      <c r="G19" s="429">
        <v>550495</v>
      </c>
      <c r="H19" s="454">
        <v>0.53</v>
      </c>
      <c r="I19" s="429">
        <v>550495</v>
      </c>
      <c r="J19" s="454">
        <v>0.53</v>
      </c>
      <c r="K19" s="429">
        <v>550495</v>
      </c>
      <c r="L19" s="454">
        <v>0.53</v>
      </c>
      <c r="M19" s="429">
        <v>550495</v>
      </c>
      <c r="N19" s="454">
        <v>0.53</v>
      </c>
      <c r="O19" s="429">
        <v>550495</v>
      </c>
      <c r="P19" s="454">
        <v>0.53</v>
      </c>
      <c r="Q19" s="429">
        <v>550495</v>
      </c>
      <c r="R19" s="454">
        <v>0.53</v>
      </c>
      <c r="S19" s="429">
        <v>550495</v>
      </c>
      <c r="T19" s="454">
        <v>0.53</v>
      </c>
      <c r="U19" s="429">
        <v>550495</v>
      </c>
      <c r="V19" s="454">
        <v>0.53</v>
      </c>
      <c r="W19" s="429">
        <v>550495</v>
      </c>
      <c r="X19" s="454">
        <v>0.53</v>
      </c>
      <c r="Y19" s="429">
        <v>550495</v>
      </c>
      <c r="Z19" s="454">
        <v>0.53</v>
      </c>
      <c r="AA19" s="429">
        <v>550495</v>
      </c>
      <c r="AB19" s="454">
        <v>0.53</v>
      </c>
      <c r="AC19" s="429">
        <v>550495</v>
      </c>
      <c r="AD19" s="454">
        <v>0.53</v>
      </c>
      <c r="AE19" s="602">
        <v>550495</v>
      </c>
      <c r="AF19" s="454">
        <v>0.53</v>
      </c>
      <c r="AG19" s="651">
        <v>550495</v>
      </c>
      <c r="AH19" s="652">
        <v>0.53</v>
      </c>
      <c r="AI19" s="651">
        <v>550495</v>
      </c>
      <c r="AJ19" s="652">
        <v>0.53</v>
      </c>
      <c r="AK19" s="651">
        <v>550495</v>
      </c>
      <c r="AL19" s="652">
        <v>0.53</v>
      </c>
      <c r="AM19" s="651">
        <v>550495</v>
      </c>
      <c r="AN19" s="652">
        <v>0.53</v>
      </c>
      <c r="AO19" s="651">
        <v>550495</v>
      </c>
      <c r="AP19" s="652">
        <v>0.53</v>
      </c>
      <c r="AQ19" s="651">
        <v>550495</v>
      </c>
      <c r="AR19" s="652">
        <v>0.53</v>
      </c>
      <c r="AS19" s="651">
        <v>550495</v>
      </c>
      <c r="AT19" s="652">
        <v>0.53</v>
      </c>
      <c r="AU19" s="651">
        <v>550495</v>
      </c>
      <c r="AV19" s="652">
        <v>0.53</v>
      </c>
    </row>
    <row r="20" spans="1:48">
      <c r="A20" s="447" t="s">
        <v>107</v>
      </c>
      <c r="B20" s="446"/>
      <c r="C20" s="430">
        <v>1188246.17</v>
      </c>
      <c r="D20" s="455">
        <v>1.1499999999999999</v>
      </c>
      <c r="E20" s="430">
        <v>1188246.17</v>
      </c>
      <c r="F20" s="455">
        <v>1.1499999999999999</v>
      </c>
      <c r="G20" s="430">
        <v>1188246.17</v>
      </c>
      <c r="H20" s="455">
        <v>1.1499999999999999</v>
      </c>
      <c r="I20" s="430">
        <v>1188246.17</v>
      </c>
      <c r="J20" s="455">
        <v>1.1499999999999999</v>
      </c>
      <c r="K20" s="430">
        <v>1188246.17</v>
      </c>
      <c r="L20" s="455">
        <v>1.1499999999999999</v>
      </c>
      <c r="M20" s="430">
        <v>1188246.17</v>
      </c>
      <c r="N20" s="455">
        <v>1.1499999999999999</v>
      </c>
      <c r="O20" s="430">
        <v>1188246.17</v>
      </c>
      <c r="P20" s="455">
        <v>1.1499999999999999</v>
      </c>
      <c r="Q20" s="430">
        <v>1188246.17</v>
      </c>
      <c r="R20" s="455">
        <v>1.1499999999999999</v>
      </c>
      <c r="S20" s="430">
        <v>1188246.17</v>
      </c>
      <c r="T20" s="455">
        <v>1.1499999999999999</v>
      </c>
      <c r="U20" s="430">
        <v>1188246.17</v>
      </c>
      <c r="V20" s="455">
        <v>1.1499999999999999</v>
      </c>
      <c r="W20" s="430">
        <v>1188246.17</v>
      </c>
      <c r="X20" s="455">
        <v>1.1499999999999999</v>
      </c>
      <c r="Y20" s="430">
        <v>1188246.17</v>
      </c>
      <c r="Z20" s="455">
        <v>1.1499999999999999</v>
      </c>
      <c r="AA20" s="430">
        <v>1188246.17</v>
      </c>
      <c r="AB20" s="455">
        <v>1.1499999999999999</v>
      </c>
      <c r="AC20" s="430">
        <v>1188246.17</v>
      </c>
      <c r="AD20" s="455">
        <v>1.1499999999999999</v>
      </c>
      <c r="AE20" s="603">
        <v>1188246.17</v>
      </c>
      <c r="AF20" s="455">
        <v>1.1499999999999999</v>
      </c>
      <c r="AG20" s="653">
        <v>1188246.17</v>
      </c>
      <c r="AH20" s="652">
        <v>1.1499999999999999</v>
      </c>
      <c r="AI20" s="653">
        <v>1188246.17</v>
      </c>
      <c r="AJ20" s="652">
        <v>1.1499999999999999</v>
      </c>
      <c r="AK20" s="653">
        <v>1188246.17</v>
      </c>
      <c r="AL20" s="652">
        <v>1.1499999999999999</v>
      </c>
      <c r="AM20" s="653">
        <v>1188246.17</v>
      </c>
      <c r="AN20" s="652">
        <v>1.1399999999999999</v>
      </c>
      <c r="AO20" s="653">
        <v>1188246.17</v>
      </c>
      <c r="AP20" s="652">
        <v>1.1499999999999999</v>
      </c>
      <c r="AQ20" s="653">
        <v>1188246.17</v>
      </c>
      <c r="AR20" s="652">
        <v>1.1399999999999999</v>
      </c>
      <c r="AS20" s="653">
        <v>1188246.17</v>
      </c>
      <c r="AT20" s="652">
        <v>1.1399999999999999</v>
      </c>
      <c r="AU20" s="653">
        <v>1188246.17</v>
      </c>
      <c r="AV20" s="652">
        <v>1.1399999999999999</v>
      </c>
    </row>
    <row r="21" spans="1:48" ht="16.5" thickBot="1">
      <c r="A21" s="447" t="s">
        <v>108</v>
      </c>
      <c r="B21" s="446"/>
      <c r="C21" s="431">
        <v>5267242.53</v>
      </c>
      <c r="D21" s="454">
        <v>5.09</v>
      </c>
      <c r="E21" s="431">
        <v>5267242.53</v>
      </c>
      <c r="F21" s="454">
        <v>5.0999999999999996</v>
      </c>
      <c r="G21" s="431">
        <v>5267242.53</v>
      </c>
      <c r="H21" s="454">
        <v>5.07</v>
      </c>
      <c r="I21" s="431">
        <v>5267242.53</v>
      </c>
      <c r="J21" s="454">
        <v>5.07</v>
      </c>
      <c r="K21" s="431">
        <v>5267242.53</v>
      </c>
      <c r="L21" s="454">
        <v>5.1100000000000003</v>
      </c>
      <c r="M21" s="431">
        <v>5267242.53</v>
      </c>
      <c r="N21" s="454">
        <v>5.1100000000000003</v>
      </c>
      <c r="O21" s="431">
        <v>5267242.53</v>
      </c>
      <c r="P21" s="454">
        <v>5.0999999999999996</v>
      </c>
      <c r="Q21" s="431">
        <v>5267242.53</v>
      </c>
      <c r="R21" s="454">
        <v>5.0999999999999996</v>
      </c>
      <c r="S21" s="431">
        <v>5267242.53</v>
      </c>
      <c r="T21" s="454">
        <v>5.1099999999999994</v>
      </c>
      <c r="U21" s="431">
        <v>5267242.53</v>
      </c>
      <c r="V21" s="454">
        <v>5.0999999999999996</v>
      </c>
      <c r="W21" s="431">
        <v>5267242.53</v>
      </c>
      <c r="X21" s="454">
        <v>5.09</v>
      </c>
      <c r="Y21" s="431">
        <v>5267242.53</v>
      </c>
      <c r="Z21" s="454">
        <v>5.09</v>
      </c>
      <c r="AA21" s="431">
        <v>5267242.53</v>
      </c>
      <c r="AB21" s="454">
        <v>5.09</v>
      </c>
      <c r="AC21" s="431">
        <v>5267242.53</v>
      </c>
      <c r="AD21" s="454">
        <v>5.08</v>
      </c>
      <c r="AE21" s="604">
        <v>5267242.53</v>
      </c>
      <c r="AF21" s="454">
        <v>5.08</v>
      </c>
      <c r="AG21" s="654">
        <v>5267242.53</v>
      </c>
      <c r="AH21" s="652">
        <v>5.0999999999999996</v>
      </c>
      <c r="AI21" s="654">
        <v>5267242.53</v>
      </c>
      <c r="AJ21" s="652">
        <v>5.08</v>
      </c>
      <c r="AK21" s="654">
        <v>5267242.53</v>
      </c>
      <c r="AL21" s="652">
        <v>5.07</v>
      </c>
      <c r="AM21" s="654">
        <v>5267242.53</v>
      </c>
      <c r="AN21" s="652">
        <v>5.07</v>
      </c>
      <c r="AO21" s="654">
        <v>5267242.53</v>
      </c>
      <c r="AP21" s="652">
        <v>5.08</v>
      </c>
      <c r="AQ21" s="654">
        <v>5267242.53</v>
      </c>
      <c r="AR21" s="652">
        <v>5.08</v>
      </c>
      <c r="AS21" s="654">
        <v>5267242.53</v>
      </c>
      <c r="AT21" s="652">
        <v>5.07</v>
      </c>
      <c r="AU21" s="654">
        <v>5267242.53</v>
      </c>
      <c r="AV21" s="652">
        <v>5.07</v>
      </c>
    </row>
    <row r="22" spans="1:48" ht="16.5" thickBot="1">
      <c r="A22" s="1026" t="s">
        <v>111</v>
      </c>
      <c r="B22" s="1027"/>
      <c r="C22" s="408">
        <f t="shared" ref="C22:H22" si="4">SUM(C19:C21)</f>
        <v>7005983.7000000002</v>
      </c>
      <c r="D22" s="408">
        <f t="shared" si="4"/>
        <v>6.77</v>
      </c>
      <c r="E22" s="408">
        <f t="shared" si="4"/>
        <v>7005983.7000000002</v>
      </c>
      <c r="F22" s="408">
        <f t="shared" si="4"/>
        <v>6.7799999999999994</v>
      </c>
      <c r="G22" s="408">
        <f t="shared" si="4"/>
        <v>7005983.7000000002</v>
      </c>
      <c r="H22" s="408">
        <f t="shared" si="4"/>
        <v>6.75</v>
      </c>
      <c r="I22" s="408">
        <f t="shared" ref="I22:AV22" si="5">SUM(I19:I21)</f>
        <v>7005983.7000000002</v>
      </c>
      <c r="J22" s="408">
        <f t="shared" si="5"/>
        <v>6.75</v>
      </c>
      <c r="K22" s="408">
        <f t="shared" si="5"/>
        <v>7005983.7000000002</v>
      </c>
      <c r="L22" s="408">
        <f t="shared" si="5"/>
        <v>6.79</v>
      </c>
      <c r="M22" s="408">
        <f t="shared" si="5"/>
        <v>7005983.7000000002</v>
      </c>
      <c r="N22" s="408">
        <f t="shared" si="5"/>
        <v>6.79</v>
      </c>
      <c r="O22" s="408">
        <f t="shared" si="5"/>
        <v>7005983.7000000002</v>
      </c>
      <c r="P22" s="408">
        <f t="shared" si="5"/>
        <v>6.7799999999999994</v>
      </c>
      <c r="Q22" s="408">
        <f t="shared" si="5"/>
        <v>7005983.7000000002</v>
      </c>
      <c r="R22" s="408">
        <f t="shared" si="5"/>
        <v>6.7799999999999994</v>
      </c>
      <c r="S22" s="408">
        <f t="shared" si="5"/>
        <v>7005983.7000000002</v>
      </c>
      <c r="T22" s="408">
        <f t="shared" si="5"/>
        <v>6.7899999999999991</v>
      </c>
      <c r="U22" s="408">
        <f t="shared" si="5"/>
        <v>7005983.7000000002</v>
      </c>
      <c r="V22" s="408">
        <f t="shared" si="5"/>
        <v>6.7799999999999994</v>
      </c>
      <c r="W22" s="408">
        <f t="shared" si="5"/>
        <v>7005983.7000000002</v>
      </c>
      <c r="X22" s="408">
        <f t="shared" si="5"/>
        <v>6.77</v>
      </c>
      <c r="Y22" s="408">
        <f t="shared" si="5"/>
        <v>7005983.7000000002</v>
      </c>
      <c r="Z22" s="408">
        <f t="shared" si="5"/>
        <v>6.77</v>
      </c>
      <c r="AA22" s="408">
        <f t="shared" si="5"/>
        <v>7005983.7000000002</v>
      </c>
      <c r="AB22" s="408">
        <f t="shared" si="5"/>
        <v>6.77</v>
      </c>
      <c r="AC22" s="408">
        <f t="shared" si="5"/>
        <v>7005983.7000000002</v>
      </c>
      <c r="AD22" s="408">
        <f t="shared" si="5"/>
        <v>6.76</v>
      </c>
      <c r="AE22" s="601">
        <f t="shared" si="5"/>
        <v>7005983.7000000002</v>
      </c>
      <c r="AF22" s="408">
        <f t="shared" si="5"/>
        <v>6.76</v>
      </c>
      <c r="AG22" s="650">
        <f t="shared" si="5"/>
        <v>7005983.7000000002</v>
      </c>
      <c r="AH22" s="650">
        <f t="shared" si="5"/>
        <v>6.7799999999999994</v>
      </c>
      <c r="AI22" s="650">
        <f t="shared" si="5"/>
        <v>7005983.7000000002</v>
      </c>
      <c r="AJ22" s="650">
        <f t="shared" si="5"/>
        <v>6.76</v>
      </c>
      <c r="AK22" s="650">
        <f t="shared" si="5"/>
        <v>7005983.7000000002</v>
      </c>
      <c r="AL22" s="650">
        <f t="shared" si="5"/>
        <v>6.75</v>
      </c>
      <c r="AM22" s="650">
        <f t="shared" si="5"/>
        <v>7005983.7000000002</v>
      </c>
      <c r="AN22" s="650">
        <f t="shared" si="5"/>
        <v>6.74</v>
      </c>
      <c r="AO22" s="650">
        <f t="shared" si="5"/>
        <v>7005983.7000000002</v>
      </c>
      <c r="AP22" s="650">
        <f t="shared" si="5"/>
        <v>6.76</v>
      </c>
      <c r="AQ22" s="650">
        <f t="shared" si="5"/>
        <v>7005983.7000000002</v>
      </c>
      <c r="AR22" s="650">
        <f t="shared" si="5"/>
        <v>6.75</v>
      </c>
      <c r="AS22" s="650">
        <f t="shared" si="5"/>
        <v>7005983.7000000002</v>
      </c>
      <c r="AT22" s="650">
        <f t="shared" si="5"/>
        <v>6.74</v>
      </c>
      <c r="AU22" s="650">
        <f t="shared" si="5"/>
        <v>7005983.7000000002</v>
      </c>
      <c r="AV22" s="650">
        <f t="shared" si="5"/>
        <v>6.74</v>
      </c>
    </row>
    <row r="23" spans="1:48" ht="15">
      <c r="A23" s="553" t="s">
        <v>45</v>
      </c>
      <c r="B23" s="478" t="s">
        <v>58</v>
      </c>
      <c r="C23" s="464">
        <v>6693255.0999999996</v>
      </c>
      <c r="D23" s="464">
        <v>6.47</v>
      </c>
      <c r="E23" s="464">
        <v>381.02</v>
      </c>
      <c r="F23" s="464">
        <v>0</v>
      </c>
      <c r="G23" s="464">
        <v>96871.16</v>
      </c>
      <c r="H23" s="464">
        <v>0.09</v>
      </c>
      <c r="I23" s="464">
        <v>196871.16</v>
      </c>
      <c r="J23" s="464">
        <v>0.19</v>
      </c>
      <c r="K23" s="464">
        <v>1871.16</v>
      </c>
      <c r="L23" s="464">
        <v>0</v>
      </c>
      <c r="M23" s="464">
        <v>32835.99</v>
      </c>
      <c r="N23" s="464">
        <v>0.03</v>
      </c>
      <c r="O23" s="464">
        <v>13596.89</v>
      </c>
      <c r="P23" s="464">
        <v>0.01</v>
      </c>
      <c r="Q23" s="464">
        <v>6572780.4500000002</v>
      </c>
      <c r="R23" s="464">
        <v>6.36</v>
      </c>
      <c r="S23" s="464">
        <v>6572780.4500000002</v>
      </c>
      <c r="T23" s="464">
        <v>6.37</v>
      </c>
      <c r="U23" s="464">
        <v>2780.45</v>
      </c>
      <c r="V23" s="464">
        <v>0</v>
      </c>
      <c r="W23" s="464">
        <v>2780.45</v>
      </c>
      <c r="X23" s="464">
        <v>0</v>
      </c>
      <c r="Y23" s="464">
        <v>2780.45</v>
      </c>
      <c r="Z23" s="464">
        <v>0</v>
      </c>
      <c r="AA23" s="464">
        <v>9236.0400000000009</v>
      </c>
      <c r="AB23" s="464">
        <v>0.01</v>
      </c>
      <c r="AC23" s="464">
        <v>9236.0400000000009</v>
      </c>
      <c r="AD23" s="464">
        <v>0.01</v>
      </c>
      <c r="AE23" s="605">
        <v>9236.0400000000009</v>
      </c>
      <c r="AF23" s="464">
        <v>0.01</v>
      </c>
      <c r="AG23" s="655">
        <v>9236.0400000000009</v>
      </c>
      <c r="AH23" s="655">
        <v>0.01</v>
      </c>
      <c r="AI23" s="464">
        <v>9236.0400000000009</v>
      </c>
      <c r="AJ23" s="655">
        <v>0.01</v>
      </c>
      <c r="AK23" s="464">
        <v>9236.0400000000009</v>
      </c>
      <c r="AL23" s="655">
        <v>0.01</v>
      </c>
      <c r="AM23" s="464">
        <v>9236.0400000000009</v>
      </c>
      <c r="AN23" s="655">
        <v>0.01</v>
      </c>
      <c r="AO23" s="464">
        <v>101693.75999999999</v>
      </c>
      <c r="AP23" s="655">
        <v>0.1</v>
      </c>
      <c r="AQ23" s="464">
        <v>745.81</v>
      </c>
      <c r="AR23" s="655">
        <v>0</v>
      </c>
      <c r="AS23" s="464">
        <v>745.81</v>
      </c>
      <c r="AT23" s="655">
        <v>0</v>
      </c>
      <c r="AU23" s="464">
        <v>745.81</v>
      </c>
      <c r="AV23" s="655">
        <v>0</v>
      </c>
    </row>
    <row r="24" spans="1:48" thickBot="1">
      <c r="A24" s="553" t="s">
        <v>45</v>
      </c>
      <c r="B24" s="478" t="s">
        <v>58</v>
      </c>
      <c r="C24" s="464">
        <v>18373.400000000001</v>
      </c>
      <c r="D24" s="482">
        <v>0.02</v>
      </c>
      <c r="E24" s="464">
        <v>2797.79</v>
      </c>
      <c r="F24" s="482">
        <v>0</v>
      </c>
      <c r="G24" s="464">
        <v>2797.79</v>
      </c>
      <c r="H24" s="482">
        <v>0</v>
      </c>
      <c r="I24" s="464">
        <v>97.79</v>
      </c>
      <c r="J24" s="482">
        <v>0</v>
      </c>
      <c r="K24" s="464">
        <v>31926.25</v>
      </c>
      <c r="L24" s="482">
        <v>0.03</v>
      </c>
      <c r="M24" s="464">
        <v>31926.25</v>
      </c>
      <c r="N24" s="482">
        <v>0.03</v>
      </c>
      <c r="O24" s="464">
        <v>49007.25</v>
      </c>
      <c r="P24" s="482">
        <v>0.05</v>
      </c>
      <c r="Q24" s="464">
        <v>49007.25</v>
      </c>
      <c r="R24" s="482">
        <v>0.05</v>
      </c>
      <c r="S24" s="464">
        <v>48169.45</v>
      </c>
      <c r="T24" s="482">
        <v>0.04</v>
      </c>
      <c r="U24" s="464">
        <v>32350.62</v>
      </c>
      <c r="V24" s="482">
        <v>0.03</v>
      </c>
      <c r="W24" s="464">
        <v>43172.800000000003</v>
      </c>
      <c r="X24" s="482">
        <v>0.04</v>
      </c>
      <c r="Y24" s="464">
        <v>43172.800000000003</v>
      </c>
      <c r="Z24" s="482">
        <v>0.04</v>
      </c>
      <c r="AA24" s="464">
        <v>43172.800000000003</v>
      </c>
      <c r="AB24" s="482">
        <v>0.04</v>
      </c>
      <c r="AC24" s="482">
        <v>38110.800000000003</v>
      </c>
      <c r="AD24" s="482">
        <v>0.04</v>
      </c>
      <c r="AE24" s="605">
        <v>38110.800000000003</v>
      </c>
      <c r="AF24" s="482">
        <v>0.04</v>
      </c>
      <c r="AG24" s="655">
        <v>38110.800000000003</v>
      </c>
      <c r="AH24" s="656">
        <v>0.04</v>
      </c>
      <c r="AI24" s="464">
        <v>38110.800000000003</v>
      </c>
      <c r="AJ24" s="656">
        <v>0.04</v>
      </c>
      <c r="AK24" s="464">
        <v>38110.800000000003</v>
      </c>
      <c r="AL24" s="656">
        <v>0.04</v>
      </c>
      <c r="AM24" s="464">
        <v>38110.800000000003</v>
      </c>
      <c r="AN24" s="656">
        <v>0.04</v>
      </c>
      <c r="AO24" s="464">
        <v>33954.480000000003</v>
      </c>
      <c r="AP24" s="656">
        <v>0.03</v>
      </c>
      <c r="AQ24" s="464">
        <v>28344.71</v>
      </c>
      <c r="AR24" s="656">
        <v>0.03</v>
      </c>
      <c r="AS24" s="464">
        <v>28344.71</v>
      </c>
      <c r="AT24" s="656">
        <v>0.03</v>
      </c>
      <c r="AU24" s="464">
        <v>30112.240000000002</v>
      </c>
      <c r="AV24" s="656">
        <v>0.03</v>
      </c>
    </row>
    <row r="25" spans="1:48" ht="15">
      <c r="A25" s="554" t="s">
        <v>47</v>
      </c>
      <c r="B25" s="478" t="s">
        <v>58</v>
      </c>
      <c r="C25" s="48">
        <v>3000000</v>
      </c>
      <c r="D25" s="48">
        <v>2.9</v>
      </c>
      <c r="E25" s="48">
        <v>3000000</v>
      </c>
      <c r="F25" s="48">
        <v>2.9000000000000004</v>
      </c>
      <c r="G25" s="48">
        <v>3000000</v>
      </c>
      <c r="H25" s="48">
        <v>2.8800000000000003</v>
      </c>
      <c r="I25" s="48">
        <v>3000000</v>
      </c>
      <c r="J25" s="48">
        <v>2.89</v>
      </c>
      <c r="K25" s="48">
        <v>3000000</v>
      </c>
      <c r="L25" s="48">
        <v>2.91</v>
      </c>
      <c r="M25" s="48">
        <v>3000000</v>
      </c>
      <c r="N25" s="48">
        <v>2.91</v>
      </c>
      <c r="O25" s="48">
        <v>3000000</v>
      </c>
      <c r="P25" s="48">
        <v>2.9099999999999997</v>
      </c>
      <c r="Q25" s="48">
        <v>3000000</v>
      </c>
      <c r="R25" s="48">
        <v>2.9</v>
      </c>
      <c r="S25" s="48">
        <v>3000000</v>
      </c>
      <c r="T25" s="48">
        <v>2.91</v>
      </c>
      <c r="U25" s="48">
        <v>3000000</v>
      </c>
      <c r="V25" s="48">
        <v>2.9</v>
      </c>
      <c r="W25" s="48">
        <v>3000000</v>
      </c>
      <c r="X25" s="48">
        <v>2.9</v>
      </c>
      <c r="Y25" s="48">
        <v>3000000</v>
      </c>
      <c r="Z25" s="48">
        <v>2.9</v>
      </c>
      <c r="AA25" s="48">
        <v>3000000</v>
      </c>
      <c r="AB25" s="48">
        <v>2.9</v>
      </c>
      <c r="AC25" s="48">
        <v>3000000</v>
      </c>
      <c r="AD25" s="48">
        <v>2.9</v>
      </c>
      <c r="AE25" s="606">
        <v>3000000</v>
      </c>
      <c r="AF25" s="48">
        <v>2.9</v>
      </c>
      <c r="AG25" s="657">
        <v>3000000</v>
      </c>
      <c r="AH25" s="657">
        <v>2.9</v>
      </c>
      <c r="AI25" s="48">
        <v>3000000</v>
      </c>
      <c r="AJ25" s="657">
        <v>2.89</v>
      </c>
      <c r="AK25" s="48">
        <v>3000000</v>
      </c>
      <c r="AL25" s="657">
        <v>2.89</v>
      </c>
      <c r="AM25" s="48">
        <v>3000000</v>
      </c>
      <c r="AN25" s="657">
        <v>2.89</v>
      </c>
      <c r="AO25" s="48">
        <v>3000000</v>
      </c>
      <c r="AP25" s="657">
        <v>2.89</v>
      </c>
      <c r="AQ25" s="48">
        <v>3000000</v>
      </c>
      <c r="AR25" s="657">
        <v>2.89</v>
      </c>
      <c r="AS25" s="48">
        <v>3000000</v>
      </c>
      <c r="AT25" s="657">
        <v>2.89</v>
      </c>
      <c r="AU25" s="48">
        <v>3000000</v>
      </c>
      <c r="AV25" s="657">
        <v>2.89</v>
      </c>
    </row>
    <row r="26" spans="1:48" ht="15">
      <c r="A26" s="553" t="s">
        <v>47</v>
      </c>
      <c r="B26" s="478" t="s">
        <v>58</v>
      </c>
      <c r="C26" s="464">
        <v>1760000</v>
      </c>
      <c r="D26" s="464">
        <v>1.7</v>
      </c>
      <c r="E26" s="470">
        <v>1805000</v>
      </c>
      <c r="F26" s="464">
        <v>1.75</v>
      </c>
      <c r="G26" s="489">
        <v>1805000</v>
      </c>
      <c r="H26" s="464">
        <v>1.74</v>
      </c>
      <c r="I26" s="489">
        <v>1805000</v>
      </c>
      <c r="J26" s="464">
        <v>1.74</v>
      </c>
      <c r="K26" s="489">
        <v>1405000</v>
      </c>
      <c r="L26" s="464">
        <v>1.36</v>
      </c>
      <c r="M26" s="464">
        <v>1405000</v>
      </c>
      <c r="N26" s="464">
        <v>1.36</v>
      </c>
      <c r="O26" s="464">
        <v>3568000</v>
      </c>
      <c r="P26" s="464">
        <v>3.45</v>
      </c>
      <c r="Q26" s="464">
        <v>3568000</v>
      </c>
      <c r="R26" s="464">
        <v>3.45</v>
      </c>
      <c r="S26" s="464">
        <v>3568000</v>
      </c>
      <c r="T26" s="464">
        <v>3.46</v>
      </c>
      <c r="U26" s="585">
        <v>638000</v>
      </c>
      <c r="V26" s="464">
        <v>0.62</v>
      </c>
      <c r="W26" s="489">
        <v>638000</v>
      </c>
      <c r="X26" s="464">
        <v>0.62</v>
      </c>
      <c r="Y26" s="489">
        <v>638000</v>
      </c>
      <c r="Z26" s="464">
        <v>0.62</v>
      </c>
      <c r="AA26" s="489">
        <v>638000</v>
      </c>
      <c r="AB26" s="464">
        <v>0.62</v>
      </c>
      <c r="AC26" s="489">
        <v>638000</v>
      </c>
      <c r="AD26" s="464">
        <v>0.61</v>
      </c>
      <c r="AE26" s="607">
        <v>638000</v>
      </c>
      <c r="AF26" s="464">
        <v>0.62</v>
      </c>
      <c r="AG26" s="658">
        <v>638000</v>
      </c>
      <c r="AH26" s="655">
        <v>0.62</v>
      </c>
      <c r="AI26" s="489">
        <v>638000</v>
      </c>
      <c r="AJ26" s="655">
        <v>0.61</v>
      </c>
      <c r="AK26" s="489">
        <v>638000</v>
      </c>
      <c r="AL26" s="655">
        <v>0.61</v>
      </c>
      <c r="AM26" s="489">
        <v>638000</v>
      </c>
      <c r="AN26" s="655">
        <v>0.62</v>
      </c>
      <c r="AO26" s="464">
        <v>568000</v>
      </c>
      <c r="AP26" s="655">
        <v>0.55000000000000004</v>
      </c>
      <c r="AQ26" s="464">
        <v>678000</v>
      </c>
      <c r="AR26" s="655">
        <v>0.65</v>
      </c>
      <c r="AS26" s="464">
        <v>678000</v>
      </c>
      <c r="AT26" s="655">
        <v>0.65</v>
      </c>
      <c r="AU26" s="464">
        <v>678000</v>
      </c>
      <c r="AV26" s="655">
        <v>0.65</v>
      </c>
    </row>
    <row r="27" spans="1:48" ht="15">
      <c r="A27" s="553" t="s">
        <v>47</v>
      </c>
      <c r="B27" s="478" t="s">
        <v>100</v>
      </c>
      <c r="C27" s="48">
        <v>2000000</v>
      </c>
      <c r="D27" s="48">
        <v>1.93</v>
      </c>
      <c r="E27" s="48">
        <v>2000000</v>
      </c>
      <c r="F27" s="48">
        <v>1.94</v>
      </c>
      <c r="G27" s="48">
        <v>2000000</v>
      </c>
      <c r="H27" s="48">
        <v>1.93</v>
      </c>
      <c r="I27" s="48">
        <v>2000000</v>
      </c>
      <c r="J27" s="48">
        <v>1.93</v>
      </c>
      <c r="K27" s="48">
        <v>2000000</v>
      </c>
      <c r="L27" s="48">
        <v>1.94</v>
      </c>
      <c r="M27" s="48">
        <v>2000000</v>
      </c>
      <c r="N27" s="48">
        <v>1.94</v>
      </c>
      <c r="O27" s="48">
        <v>2000000</v>
      </c>
      <c r="P27" s="48">
        <v>1.94</v>
      </c>
      <c r="Q27" s="48">
        <v>2000000</v>
      </c>
      <c r="R27" s="48">
        <v>1.93</v>
      </c>
      <c r="S27" s="48">
        <v>2000000</v>
      </c>
      <c r="T27" s="48">
        <v>1.94</v>
      </c>
      <c r="U27" s="48">
        <v>2000000</v>
      </c>
      <c r="V27" s="48">
        <v>1.94</v>
      </c>
      <c r="W27" s="48">
        <v>2000000</v>
      </c>
      <c r="X27" s="48">
        <v>1.93</v>
      </c>
      <c r="Y27" s="48">
        <v>2000000</v>
      </c>
      <c r="Z27" s="48">
        <v>1.93</v>
      </c>
      <c r="AA27" s="48">
        <v>2000000</v>
      </c>
      <c r="AB27" s="48">
        <v>1.93</v>
      </c>
      <c r="AC27" s="48">
        <v>2000000</v>
      </c>
      <c r="AD27" s="48">
        <v>1.93</v>
      </c>
      <c r="AE27" s="606">
        <v>2000000</v>
      </c>
      <c r="AF27" s="48">
        <v>1.93</v>
      </c>
      <c r="AG27" s="657">
        <v>2000000</v>
      </c>
      <c r="AH27" s="657">
        <v>1.93</v>
      </c>
      <c r="AI27" s="48">
        <v>2000000</v>
      </c>
      <c r="AJ27" s="657">
        <v>1.93</v>
      </c>
      <c r="AK27" s="48">
        <v>2000000</v>
      </c>
      <c r="AL27" s="657">
        <v>1.93</v>
      </c>
      <c r="AM27" s="48">
        <v>2000000</v>
      </c>
      <c r="AN27" s="657">
        <v>1.93</v>
      </c>
      <c r="AO27" s="48">
        <v>2000000</v>
      </c>
      <c r="AP27" s="657">
        <v>1.93</v>
      </c>
      <c r="AQ27" s="48">
        <v>2000000</v>
      </c>
      <c r="AR27" s="657">
        <v>1.93</v>
      </c>
      <c r="AS27" s="48">
        <v>2000000</v>
      </c>
      <c r="AT27" s="657">
        <v>1.93</v>
      </c>
      <c r="AU27" s="48">
        <v>2000000</v>
      </c>
      <c r="AV27" s="657">
        <v>1.92</v>
      </c>
    </row>
    <row r="28" spans="1:48" ht="15">
      <c r="A28" s="554" t="s">
        <v>47</v>
      </c>
      <c r="B28" s="478" t="s">
        <v>103</v>
      </c>
      <c r="C28" s="48">
        <v>9000000</v>
      </c>
      <c r="D28" s="48">
        <v>8.6999999999999993</v>
      </c>
      <c r="E28" s="48">
        <v>9000000</v>
      </c>
      <c r="F28" s="48">
        <v>8.7200000000000006</v>
      </c>
      <c r="G28" s="48">
        <v>9000000</v>
      </c>
      <c r="H28" s="48">
        <v>8.67</v>
      </c>
      <c r="I28" s="48">
        <v>9000000</v>
      </c>
      <c r="J28" s="48">
        <v>8.67</v>
      </c>
      <c r="K28" s="48">
        <v>9000000</v>
      </c>
      <c r="L28" s="48">
        <v>8.73</v>
      </c>
      <c r="M28" s="48">
        <v>9000000</v>
      </c>
      <c r="N28" s="48">
        <v>8.7200000000000006</v>
      </c>
      <c r="O28" s="48">
        <v>9000000</v>
      </c>
      <c r="P28" s="48">
        <v>8.7100000000000009</v>
      </c>
      <c r="Q28" s="48">
        <v>9000000</v>
      </c>
      <c r="R28" s="48">
        <v>8.7100000000000009</v>
      </c>
      <c r="S28" s="48">
        <v>9000000</v>
      </c>
      <c r="T28" s="48">
        <v>8.7200000000000006</v>
      </c>
      <c r="U28" s="48">
        <v>9000000</v>
      </c>
      <c r="V28" s="48">
        <v>8.7100000000000009</v>
      </c>
      <c r="W28" s="48">
        <v>9000000</v>
      </c>
      <c r="X28" s="48">
        <v>8.6999999999999993</v>
      </c>
      <c r="Y28" s="48">
        <v>9000000</v>
      </c>
      <c r="Z28" s="48">
        <v>8.69</v>
      </c>
      <c r="AA28" s="48">
        <v>9000000</v>
      </c>
      <c r="AB28" s="48">
        <v>8.69</v>
      </c>
      <c r="AC28" s="48">
        <v>9000000</v>
      </c>
      <c r="AD28" s="48">
        <v>8.69</v>
      </c>
      <c r="AE28" s="606">
        <v>9000000</v>
      </c>
      <c r="AF28" s="48">
        <v>8.6999999999999993</v>
      </c>
      <c r="AG28" s="657">
        <v>9000000</v>
      </c>
      <c r="AH28" s="657">
        <v>8.7100000000000009</v>
      </c>
      <c r="AI28" s="48">
        <v>9000000</v>
      </c>
      <c r="AJ28" s="657">
        <v>8.68</v>
      </c>
      <c r="AK28" s="48">
        <v>9000000</v>
      </c>
      <c r="AL28" s="657">
        <v>8.67</v>
      </c>
      <c r="AM28" s="48">
        <v>9000000</v>
      </c>
      <c r="AN28" s="657">
        <v>8.66</v>
      </c>
      <c r="AO28" s="48">
        <v>9000000</v>
      </c>
      <c r="AP28" s="657">
        <v>8.68</v>
      </c>
      <c r="AQ28" s="48">
        <v>9000000</v>
      </c>
      <c r="AR28" s="657">
        <v>8.67</v>
      </c>
      <c r="AS28" s="48">
        <v>9000000</v>
      </c>
      <c r="AT28" s="657">
        <v>8.67</v>
      </c>
      <c r="AU28" s="48">
        <v>9000000</v>
      </c>
      <c r="AV28" s="657">
        <v>8.66</v>
      </c>
    </row>
    <row r="29" spans="1:48" ht="15">
      <c r="A29" s="554" t="s">
        <v>47</v>
      </c>
      <c r="B29" s="478" t="s">
        <v>95</v>
      </c>
      <c r="C29" s="48">
        <v>2500000</v>
      </c>
      <c r="D29" s="48">
        <v>2.42</v>
      </c>
      <c r="E29" s="48">
        <v>2500000</v>
      </c>
      <c r="F29" s="48">
        <v>2.42</v>
      </c>
      <c r="G29" s="48">
        <v>2500000</v>
      </c>
      <c r="H29" s="48">
        <v>2.41</v>
      </c>
      <c r="I29" s="48">
        <v>2500000</v>
      </c>
      <c r="J29" s="48">
        <v>2.41</v>
      </c>
      <c r="K29" s="48">
        <v>2500000</v>
      </c>
      <c r="L29" s="48">
        <v>2.42</v>
      </c>
      <c r="M29" s="48">
        <v>2500000</v>
      </c>
      <c r="N29" s="48">
        <v>2.42</v>
      </c>
      <c r="O29" s="48">
        <v>2500000</v>
      </c>
      <c r="P29" s="48">
        <v>2.42</v>
      </c>
      <c r="Q29" s="581">
        <v>0</v>
      </c>
      <c r="R29" s="48">
        <v>0</v>
      </c>
      <c r="S29" s="581">
        <v>0</v>
      </c>
      <c r="T29" s="48">
        <v>0</v>
      </c>
      <c r="U29" s="581">
        <v>5000000</v>
      </c>
      <c r="V29" s="48">
        <v>4.84</v>
      </c>
      <c r="W29" s="48">
        <v>5000000</v>
      </c>
      <c r="X29" s="48">
        <v>4.83</v>
      </c>
      <c r="Y29" s="48">
        <v>5000000</v>
      </c>
      <c r="Z29" s="48">
        <v>4.83</v>
      </c>
      <c r="AA29" s="48">
        <v>5000000</v>
      </c>
      <c r="AB29" s="48">
        <v>4.83</v>
      </c>
      <c r="AC29" s="48">
        <v>5000000</v>
      </c>
      <c r="AD29" s="48">
        <v>4.83</v>
      </c>
      <c r="AE29" s="606">
        <v>5000000</v>
      </c>
      <c r="AF29" s="48">
        <v>4.83</v>
      </c>
      <c r="AG29" s="657">
        <v>5000000</v>
      </c>
      <c r="AH29" s="657">
        <v>4.84</v>
      </c>
      <c r="AI29" s="48">
        <v>5000000</v>
      </c>
      <c r="AJ29" s="657">
        <v>4.82</v>
      </c>
      <c r="AK29" s="48">
        <v>5000000</v>
      </c>
      <c r="AL29" s="657">
        <v>4.82</v>
      </c>
      <c r="AM29" s="48">
        <v>5000000</v>
      </c>
      <c r="AN29" s="657">
        <v>4.8099999999999996</v>
      </c>
      <c r="AO29" s="48">
        <v>5000000</v>
      </c>
      <c r="AP29" s="657">
        <v>4.82</v>
      </c>
      <c r="AQ29" s="48">
        <v>5000000</v>
      </c>
      <c r="AR29" s="657">
        <v>4.82</v>
      </c>
      <c r="AS29" s="48">
        <v>5000000</v>
      </c>
      <c r="AT29" s="657">
        <v>4.8099999999999996</v>
      </c>
      <c r="AU29" s="48">
        <v>5000000</v>
      </c>
      <c r="AV29" s="657">
        <v>4.8099999999999996</v>
      </c>
    </row>
    <row r="30" spans="1:48" ht="15">
      <c r="A30" s="554" t="s">
        <v>47</v>
      </c>
      <c r="B30" s="478" t="s">
        <v>125</v>
      </c>
      <c r="C30" s="48">
        <v>4000000</v>
      </c>
      <c r="D30" s="48">
        <v>3.8600000000000003</v>
      </c>
      <c r="E30" s="48">
        <v>4000000</v>
      </c>
      <c r="F30" s="48">
        <v>3.87</v>
      </c>
      <c r="G30" s="48">
        <v>4000000</v>
      </c>
      <c r="H30" s="48">
        <v>3.85</v>
      </c>
      <c r="I30" s="48">
        <v>4000000</v>
      </c>
      <c r="J30" s="48">
        <v>3.85</v>
      </c>
      <c r="K30" s="48">
        <v>4000000</v>
      </c>
      <c r="L30" s="48">
        <v>3.88</v>
      </c>
      <c r="M30" s="48">
        <v>4000000</v>
      </c>
      <c r="N30" s="48">
        <v>3.88</v>
      </c>
      <c r="O30" s="48">
        <v>4000000</v>
      </c>
      <c r="P30" s="48">
        <v>3.87</v>
      </c>
      <c r="Q30" s="581">
        <v>0</v>
      </c>
      <c r="R30" s="48">
        <v>0</v>
      </c>
      <c r="S30" s="581">
        <v>0</v>
      </c>
      <c r="T30" s="48">
        <v>0</v>
      </c>
      <c r="U30" s="581">
        <v>4500000</v>
      </c>
      <c r="V30" s="48">
        <v>4.3600000000000003</v>
      </c>
      <c r="W30" s="48">
        <v>4500000</v>
      </c>
      <c r="X30" s="48">
        <v>4.3499999999999996</v>
      </c>
      <c r="Y30" s="48">
        <v>4500000</v>
      </c>
      <c r="Z30" s="48">
        <v>4.3499999999999996</v>
      </c>
      <c r="AA30" s="48">
        <v>4500000</v>
      </c>
      <c r="AB30" s="48">
        <v>4.3499999999999996</v>
      </c>
      <c r="AC30" s="48">
        <v>4500000</v>
      </c>
      <c r="AD30" s="48">
        <v>4.34</v>
      </c>
      <c r="AE30" s="606">
        <v>4500000</v>
      </c>
      <c r="AF30" s="48">
        <v>4.3499999999999996</v>
      </c>
      <c r="AG30" s="657">
        <v>4500000</v>
      </c>
      <c r="AH30" s="657">
        <v>4.3499999999999996</v>
      </c>
      <c r="AI30" s="48">
        <v>4500000</v>
      </c>
      <c r="AJ30" s="657">
        <v>4.34</v>
      </c>
      <c r="AK30" s="48">
        <v>4500000</v>
      </c>
      <c r="AL30" s="657">
        <v>4.34</v>
      </c>
      <c r="AM30" s="48">
        <v>4500000</v>
      </c>
      <c r="AN30" s="657">
        <v>4.33</v>
      </c>
      <c r="AO30" s="48">
        <v>4500000</v>
      </c>
      <c r="AP30" s="657">
        <v>4.34</v>
      </c>
      <c r="AQ30" s="48">
        <v>4500000</v>
      </c>
      <c r="AR30" s="657">
        <v>4.34</v>
      </c>
      <c r="AS30" s="48">
        <v>4500000</v>
      </c>
      <c r="AT30" s="657">
        <v>4.33</v>
      </c>
      <c r="AU30" s="48">
        <v>4500000</v>
      </c>
      <c r="AV30" s="657">
        <v>4.33</v>
      </c>
    </row>
    <row r="31" spans="1:48" ht="15">
      <c r="A31" s="554" t="s">
        <v>47</v>
      </c>
      <c r="B31" s="478" t="s">
        <v>125</v>
      </c>
      <c r="C31" s="48">
        <v>1000000</v>
      </c>
      <c r="D31" s="48">
        <v>0.97</v>
      </c>
      <c r="E31" s="48">
        <v>1000000</v>
      </c>
      <c r="F31" s="48">
        <v>0.97</v>
      </c>
      <c r="G31" s="48">
        <v>1000000</v>
      </c>
      <c r="H31" s="48">
        <v>0.96</v>
      </c>
      <c r="I31" s="48">
        <v>1000000</v>
      </c>
      <c r="J31" s="48">
        <v>0.96</v>
      </c>
      <c r="K31" s="48">
        <v>1000000</v>
      </c>
      <c r="L31" s="48">
        <v>0.97</v>
      </c>
      <c r="M31" s="48">
        <v>1000000</v>
      </c>
      <c r="N31" s="48">
        <v>0.97</v>
      </c>
      <c r="O31" s="48">
        <v>1000000</v>
      </c>
      <c r="P31" s="48">
        <v>0.97</v>
      </c>
      <c r="Q31" s="48">
        <v>1000000</v>
      </c>
      <c r="R31" s="48">
        <v>0.97</v>
      </c>
      <c r="S31" s="48">
        <v>1000000</v>
      </c>
      <c r="T31" s="48">
        <v>0.97</v>
      </c>
      <c r="U31" s="48">
        <v>1000000</v>
      </c>
      <c r="V31" s="48">
        <v>0.97</v>
      </c>
      <c r="W31" s="48">
        <v>1000000</v>
      </c>
      <c r="X31" s="48">
        <v>0.96</v>
      </c>
      <c r="Y31" s="48">
        <v>1000000</v>
      </c>
      <c r="Z31" s="48">
        <v>0.97</v>
      </c>
      <c r="AA31" s="48">
        <v>1000000</v>
      </c>
      <c r="AB31" s="48">
        <v>0.96</v>
      </c>
      <c r="AC31" s="48">
        <v>1000000</v>
      </c>
      <c r="AD31" s="48">
        <v>0.96</v>
      </c>
      <c r="AE31" s="606">
        <v>1000000</v>
      </c>
      <c r="AF31" s="48">
        <v>0.97</v>
      </c>
      <c r="AG31" s="657">
        <v>1000000</v>
      </c>
      <c r="AH31" s="657">
        <v>0.97</v>
      </c>
      <c r="AI31" s="48">
        <v>1000000</v>
      </c>
      <c r="AJ31" s="657">
        <v>0.96</v>
      </c>
      <c r="AK31" s="48">
        <v>1000000</v>
      </c>
      <c r="AL31" s="657">
        <v>0.96</v>
      </c>
      <c r="AM31" s="48">
        <v>1000000</v>
      </c>
      <c r="AN31" s="657">
        <v>0.96</v>
      </c>
      <c r="AO31" s="48">
        <v>1000000</v>
      </c>
      <c r="AP31" s="657">
        <v>0.97</v>
      </c>
      <c r="AQ31" s="48">
        <v>1000000</v>
      </c>
      <c r="AR31" s="657">
        <v>0.96</v>
      </c>
      <c r="AS31" s="48">
        <v>1000000</v>
      </c>
      <c r="AT31" s="657">
        <v>0.96</v>
      </c>
      <c r="AU31" s="48">
        <v>1000000</v>
      </c>
      <c r="AV31" s="657">
        <v>0.96</v>
      </c>
    </row>
    <row r="32" spans="1:48" thickBot="1">
      <c r="A32" s="553" t="s">
        <v>47</v>
      </c>
      <c r="B32" s="478" t="s">
        <v>104</v>
      </c>
      <c r="C32" s="456">
        <v>2000000</v>
      </c>
      <c r="D32" s="456">
        <v>1.93</v>
      </c>
      <c r="E32" s="456">
        <v>2000000</v>
      </c>
      <c r="F32" s="456">
        <v>1.94</v>
      </c>
      <c r="G32" s="456">
        <v>2000000</v>
      </c>
      <c r="H32" s="456">
        <v>1.93</v>
      </c>
      <c r="I32" s="456">
        <v>2000000</v>
      </c>
      <c r="J32" s="456">
        <v>1.93</v>
      </c>
      <c r="K32" s="456">
        <v>2000000</v>
      </c>
      <c r="L32" s="456">
        <v>1.94</v>
      </c>
      <c r="M32" s="456">
        <v>2000000</v>
      </c>
      <c r="N32" s="456">
        <v>1.94</v>
      </c>
      <c r="O32" s="456">
        <v>0</v>
      </c>
      <c r="P32" s="456">
        <v>0</v>
      </c>
      <c r="Q32" s="456">
        <v>0</v>
      </c>
      <c r="R32" s="456">
        <v>0</v>
      </c>
      <c r="S32" s="456">
        <v>0</v>
      </c>
      <c r="T32" s="456">
        <v>0</v>
      </c>
      <c r="U32" s="456">
        <v>0</v>
      </c>
      <c r="V32" s="456">
        <v>0</v>
      </c>
      <c r="W32" s="456">
        <v>0</v>
      </c>
      <c r="X32" s="456">
        <v>0</v>
      </c>
      <c r="Y32" s="456">
        <v>0</v>
      </c>
      <c r="Z32" s="456">
        <v>0</v>
      </c>
      <c r="AA32" s="456">
        <v>0</v>
      </c>
      <c r="AB32" s="456">
        <v>0</v>
      </c>
      <c r="AC32" s="456">
        <v>0</v>
      </c>
      <c r="AD32" s="456">
        <v>0</v>
      </c>
      <c r="AE32" s="608">
        <v>0</v>
      </c>
      <c r="AF32" s="456">
        <v>0</v>
      </c>
      <c r="AG32" s="659">
        <v>0</v>
      </c>
      <c r="AH32" s="659">
        <v>0</v>
      </c>
      <c r="AI32" s="659">
        <v>0</v>
      </c>
      <c r="AJ32" s="659">
        <v>0</v>
      </c>
      <c r="AK32" s="659">
        <v>0</v>
      </c>
      <c r="AL32" s="659">
        <v>0</v>
      </c>
      <c r="AM32" s="659">
        <v>0</v>
      </c>
      <c r="AN32" s="659">
        <v>0</v>
      </c>
      <c r="AO32" s="659">
        <v>0</v>
      </c>
      <c r="AP32" s="659">
        <v>0</v>
      </c>
      <c r="AQ32" s="659">
        <v>0</v>
      </c>
      <c r="AR32" s="659">
        <v>0</v>
      </c>
      <c r="AS32" s="659">
        <v>0</v>
      </c>
      <c r="AT32" s="659">
        <v>0</v>
      </c>
      <c r="AU32" s="659">
        <v>0</v>
      </c>
      <c r="AV32" s="659">
        <v>0</v>
      </c>
    </row>
    <row r="33" spans="1:48" ht="16.5" thickBot="1">
      <c r="A33" s="1028" t="s">
        <v>111</v>
      </c>
      <c r="B33" s="1028"/>
      <c r="C33" s="408">
        <f t="shared" ref="C33:J33" si="6">SUM(C23:C32)</f>
        <v>31971628.5</v>
      </c>
      <c r="D33" s="408">
        <f t="shared" si="6"/>
        <v>30.9</v>
      </c>
      <c r="E33" s="408">
        <f t="shared" si="6"/>
        <v>25308178.810000002</v>
      </c>
      <c r="F33" s="408">
        <f t="shared" si="6"/>
        <v>24.51</v>
      </c>
      <c r="G33" s="408">
        <f t="shared" si="6"/>
        <v>25404668.949999999</v>
      </c>
      <c r="H33" s="408">
        <f t="shared" si="6"/>
        <v>24.46</v>
      </c>
      <c r="I33" s="408">
        <f t="shared" si="6"/>
        <v>25501968.949999999</v>
      </c>
      <c r="J33" s="408">
        <f t="shared" si="6"/>
        <v>24.57</v>
      </c>
      <c r="K33" s="408">
        <f t="shared" ref="K33:AV33" si="7">SUM(K23:K32)</f>
        <v>24938797.41</v>
      </c>
      <c r="L33" s="408">
        <f t="shared" si="7"/>
        <v>24.18</v>
      </c>
      <c r="M33" s="408">
        <f t="shared" si="7"/>
        <v>24969762.240000002</v>
      </c>
      <c r="N33" s="408">
        <f t="shared" si="7"/>
        <v>24.2</v>
      </c>
      <c r="O33" s="408">
        <f t="shared" si="7"/>
        <v>25130604.140000001</v>
      </c>
      <c r="P33" s="408">
        <f t="shared" si="7"/>
        <v>24.330000000000002</v>
      </c>
      <c r="Q33" s="408">
        <f t="shared" si="7"/>
        <v>25189787.699999999</v>
      </c>
      <c r="R33" s="408">
        <f t="shared" si="7"/>
        <v>24.37</v>
      </c>
      <c r="S33" s="408">
        <f t="shared" si="7"/>
        <v>25188949.899999999</v>
      </c>
      <c r="T33" s="408">
        <f t="shared" si="7"/>
        <v>24.41</v>
      </c>
      <c r="U33" s="408">
        <f t="shared" si="7"/>
        <v>25173131.07</v>
      </c>
      <c r="V33" s="408">
        <f t="shared" si="7"/>
        <v>24.369999999999997</v>
      </c>
      <c r="W33" s="408">
        <f t="shared" si="7"/>
        <v>25183953.25</v>
      </c>
      <c r="X33" s="408">
        <f t="shared" si="7"/>
        <v>24.33</v>
      </c>
      <c r="Y33" s="408">
        <f t="shared" si="7"/>
        <v>25183953.25</v>
      </c>
      <c r="Z33" s="408">
        <f t="shared" si="7"/>
        <v>24.33</v>
      </c>
      <c r="AA33" s="408">
        <f t="shared" si="7"/>
        <v>25190408.84</v>
      </c>
      <c r="AB33" s="408">
        <f t="shared" si="7"/>
        <v>24.33</v>
      </c>
      <c r="AC33" s="408">
        <f t="shared" si="7"/>
        <v>25185346.84</v>
      </c>
      <c r="AD33" s="408">
        <f t="shared" si="7"/>
        <v>24.31</v>
      </c>
      <c r="AE33" s="601">
        <f t="shared" si="7"/>
        <v>25185346.84</v>
      </c>
      <c r="AF33" s="408">
        <f t="shared" si="7"/>
        <v>24.35</v>
      </c>
      <c r="AG33" s="650">
        <f t="shared" si="7"/>
        <v>25185346.84</v>
      </c>
      <c r="AH33" s="650">
        <f t="shared" si="7"/>
        <v>24.369999999999997</v>
      </c>
      <c r="AI33" s="650">
        <f t="shared" si="7"/>
        <v>25185346.84</v>
      </c>
      <c r="AJ33" s="650">
        <f t="shared" si="7"/>
        <v>24.28</v>
      </c>
      <c r="AK33" s="650">
        <f t="shared" si="7"/>
        <v>25185346.84</v>
      </c>
      <c r="AL33" s="650">
        <f t="shared" si="7"/>
        <v>24.27</v>
      </c>
      <c r="AM33" s="650">
        <f t="shared" si="7"/>
        <v>25185346.84</v>
      </c>
      <c r="AN33" s="650">
        <f t="shared" si="7"/>
        <v>24.25</v>
      </c>
      <c r="AO33" s="650">
        <f t="shared" si="7"/>
        <v>25203648.240000002</v>
      </c>
      <c r="AP33" s="650">
        <f t="shared" si="7"/>
        <v>24.31</v>
      </c>
      <c r="AQ33" s="650">
        <f t="shared" si="7"/>
        <v>25207090.52</v>
      </c>
      <c r="AR33" s="650">
        <f t="shared" si="7"/>
        <v>24.290000000000003</v>
      </c>
      <c r="AS33" s="650">
        <f t="shared" si="7"/>
        <v>25207090.52</v>
      </c>
      <c r="AT33" s="650">
        <f t="shared" si="7"/>
        <v>24.270000000000003</v>
      </c>
      <c r="AU33" s="650">
        <f t="shared" si="7"/>
        <v>25208858.050000001</v>
      </c>
      <c r="AV33" s="650">
        <f t="shared" si="7"/>
        <v>24.25</v>
      </c>
    </row>
    <row r="34" spans="1:48" ht="16.5" thickBot="1">
      <c r="A34" s="1029" t="s">
        <v>48</v>
      </c>
      <c r="B34" s="1030"/>
      <c r="C34" s="409"/>
      <c r="D34" s="432"/>
      <c r="E34" s="409"/>
      <c r="F34" s="432"/>
      <c r="G34" s="409"/>
      <c r="H34" s="432"/>
      <c r="I34" s="409"/>
      <c r="J34" s="432"/>
      <c r="K34" s="409"/>
      <c r="L34" s="432"/>
      <c r="M34" s="409"/>
      <c r="N34" s="432"/>
      <c r="O34" s="409"/>
      <c r="P34" s="432"/>
      <c r="Q34" s="409"/>
      <c r="R34" s="432"/>
      <c r="S34" s="409"/>
      <c r="T34" s="432"/>
      <c r="U34" s="409"/>
      <c r="V34" s="432"/>
      <c r="W34" s="409"/>
      <c r="X34" s="432"/>
      <c r="Y34" s="409"/>
      <c r="Z34" s="432"/>
      <c r="AA34" s="409"/>
      <c r="AB34" s="432"/>
      <c r="AC34" s="409"/>
      <c r="AD34" s="432"/>
      <c r="AE34" s="609"/>
      <c r="AF34" s="432"/>
      <c r="AG34" s="660"/>
      <c r="AH34" s="661"/>
      <c r="AI34" s="660"/>
      <c r="AJ34" s="661"/>
      <c r="AK34" s="660"/>
      <c r="AL34" s="661"/>
      <c r="AM34" s="660"/>
      <c r="AN34" s="661"/>
      <c r="AO34" s="660"/>
      <c r="AP34" s="661"/>
      <c r="AQ34" s="660"/>
      <c r="AR34" s="661"/>
      <c r="AS34" s="660"/>
      <c r="AT34" s="661"/>
      <c r="AU34" s="660"/>
      <c r="AV34" s="661"/>
    </row>
    <row r="35" spans="1:48" ht="16.5" thickBot="1">
      <c r="A35" s="1031" t="s">
        <v>111</v>
      </c>
      <c r="B35" s="1031"/>
      <c r="C35" s="410"/>
      <c r="D35" s="410"/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  <c r="U35" s="410"/>
      <c r="V35" s="410"/>
      <c r="W35" s="410"/>
      <c r="X35" s="410"/>
      <c r="Y35" s="410"/>
      <c r="Z35" s="410"/>
      <c r="AA35" s="410"/>
      <c r="AB35" s="410"/>
      <c r="AC35" s="410"/>
      <c r="AD35" s="410"/>
      <c r="AE35" s="610"/>
      <c r="AF35" s="410"/>
      <c r="AG35" s="662"/>
      <c r="AH35" s="662"/>
      <c r="AI35" s="662"/>
      <c r="AJ35" s="662"/>
      <c r="AK35" s="662"/>
      <c r="AL35" s="662"/>
      <c r="AM35" s="662"/>
      <c r="AN35" s="662"/>
      <c r="AO35" s="662"/>
      <c r="AP35" s="662"/>
      <c r="AQ35" s="662"/>
      <c r="AR35" s="662"/>
      <c r="AS35" s="662"/>
      <c r="AT35" s="662"/>
      <c r="AU35" s="662"/>
      <c r="AV35" s="662"/>
    </row>
    <row r="36" spans="1:48">
      <c r="A36" s="114" t="s">
        <v>67</v>
      </c>
      <c r="B36" s="115" t="s">
        <v>74</v>
      </c>
      <c r="C36" s="436">
        <v>300</v>
      </c>
      <c r="D36" s="518"/>
      <c r="E36" s="436">
        <v>300</v>
      </c>
      <c r="F36" s="518"/>
      <c r="G36" s="518"/>
      <c r="H36" s="518"/>
      <c r="I36" s="518"/>
      <c r="J36" s="518"/>
      <c r="K36" s="518">
        <v>300</v>
      </c>
      <c r="L36" s="518"/>
      <c r="M36" s="518">
        <v>300</v>
      </c>
      <c r="N36" s="518"/>
      <c r="O36" s="518">
        <v>300</v>
      </c>
      <c r="P36" s="518"/>
      <c r="Q36" s="518">
        <v>300</v>
      </c>
      <c r="R36" s="518"/>
      <c r="S36" s="518">
        <v>300</v>
      </c>
      <c r="T36" s="518"/>
      <c r="U36" s="518">
        <v>300</v>
      </c>
      <c r="V36" s="518"/>
      <c r="W36" s="518">
        <v>300</v>
      </c>
      <c r="X36" s="518"/>
      <c r="Y36" s="518">
        <v>300</v>
      </c>
      <c r="Z36" s="518"/>
      <c r="AA36" s="518">
        <v>300</v>
      </c>
      <c r="AB36" s="518"/>
      <c r="AC36" s="518">
        <v>300</v>
      </c>
      <c r="AD36" s="518"/>
      <c r="AE36" s="611">
        <v>300</v>
      </c>
      <c r="AF36" s="518"/>
      <c r="AG36" s="663">
        <v>300</v>
      </c>
      <c r="AH36" s="663"/>
      <c r="AI36" s="663">
        <v>300</v>
      </c>
      <c r="AJ36" s="663"/>
      <c r="AK36" s="663">
        <v>300</v>
      </c>
      <c r="AL36" s="663"/>
      <c r="AM36" s="663">
        <v>300</v>
      </c>
      <c r="AN36" s="663"/>
      <c r="AO36" s="663">
        <v>300</v>
      </c>
      <c r="AP36" s="663"/>
      <c r="AQ36" s="663">
        <v>300</v>
      </c>
      <c r="AR36" s="663"/>
      <c r="AS36" s="663">
        <v>300</v>
      </c>
      <c r="AT36" s="663"/>
      <c r="AU36" s="663"/>
      <c r="AV36" s="663"/>
    </row>
    <row r="37" spans="1:48" ht="48" thickBot="1">
      <c r="A37" s="122" t="s">
        <v>58</v>
      </c>
      <c r="B37" s="123" t="s">
        <v>75</v>
      </c>
      <c r="C37" s="473">
        <v>58613.46</v>
      </c>
      <c r="D37" s="526">
        <v>0.06</v>
      </c>
      <c r="E37" s="473">
        <v>59177.74</v>
      </c>
      <c r="F37" s="526">
        <v>0.06</v>
      </c>
      <c r="G37" s="473">
        <v>61434.9</v>
      </c>
      <c r="H37" s="439">
        <v>0.06</v>
      </c>
      <c r="I37" s="473">
        <v>61999.18</v>
      </c>
      <c r="J37" s="439">
        <v>0.06</v>
      </c>
      <c r="K37" s="473">
        <v>62563.47</v>
      </c>
      <c r="L37" s="439">
        <v>0.06</v>
      </c>
      <c r="M37" s="473">
        <v>63127.76</v>
      </c>
      <c r="N37" s="439">
        <v>0.06</v>
      </c>
      <c r="O37" s="473">
        <v>63692.05</v>
      </c>
      <c r="P37" s="439">
        <v>0.06</v>
      </c>
      <c r="Q37" s="511">
        <v>65384.91</v>
      </c>
      <c r="R37" s="439">
        <v>0.06</v>
      </c>
      <c r="S37" s="473">
        <v>65949.2</v>
      </c>
      <c r="T37" s="439">
        <v>0.06</v>
      </c>
      <c r="U37" s="473">
        <v>66513.48</v>
      </c>
      <c r="V37" s="439">
        <v>0.06</v>
      </c>
      <c r="W37" s="473">
        <v>67077.77</v>
      </c>
      <c r="X37" s="439">
        <v>0.06</v>
      </c>
      <c r="Y37" s="473">
        <v>67642.06</v>
      </c>
      <c r="Z37" s="439">
        <v>7.0000000000000007E-2</v>
      </c>
      <c r="AA37" s="473">
        <v>69334.92</v>
      </c>
      <c r="AB37" s="439">
        <v>7.0000000000000007E-2</v>
      </c>
      <c r="AC37" s="473">
        <v>69899.210000000006</v>
      </c>
      <c r="AD37" s="439">
        <v>7.0000000000000007E-2</v>
      </c>
      <c r="AE37" s="612">
        <v>70463.5</v>
      </c>
      <c r="AF37" s="439">
        <v>7.0000000000000007E-2</v>
      </c>
      <c r="AG37" s="664">
        <v>71027.789999999994</v>
      </c>
      <c r="AH37" s="665">
        <v>7.0000000000000007E-2</v>
      </c>
      <c r="AI37" s="473">
        <v>71592.070000000007</v>
      </c>
      <c r="AJ37" s="665">
        <v>7.0000000000000007E-2</v>
      </c>
      <c r="AK37" s="473">
        <v>73284.94</v>
      </c>
      <c r="AL37" s="665">
        <v>7.0000000000000007E-2</v>
      </c>
      <c r="AM37" s="473">
        <v>73849.22</v>
      </c>
      <c r="AN37" s="665">
        <v>7.0000000000000007E-2</v>
      </c>
      <c r="AO37" s="473">
        <v>74413.509999999995</v>
      </c>
      <c r="AP37" s="473">
        <v>7.0000000000000007E-2</v>
      </c>
      <c r="AQ37" s="473">
        <v>74977.8</v>
      </c>
      <c r="AR37" s="473">
        <v>7.0000000000000007E-2</v>
      </c>
      <c r="AS37" s="473">
        <v>75542.09</v>
      </c>
      <c r="AT37" s="473">
        <v>7.0000000000000007E-2</v>
      </c>
      <c r="AU37" s="511">
        <v>77234.95</v>
      </c>
      <c r="AV37" s="473">
        <v>7.0000000000000007E-2</v>
      </c>
    </row>
    <row r="38" spans="1:48" ht="32.25" thickBot="1">
      <c r="A38" s="122" t="s">
        <v>58</v>
      </c>
      <c r="B38" s="123" t="s">
        <v>131</v>
      </c>
      <c r="C38" s="527"/>
      <c r="D38" s="527"/>
      <c r="E38" s="527"/>
      <c r="F38" s="527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  <c r="AA38" s="518"/>
      <c r="AB38" s="518"/>
      <c r="AC38" s="518"/>
      <c r="AD38" s="518"/>
      <c r="AE38" s="611"/>
      <c r="AF38" s="518"/>
      <c r="AG38" s="663"/>
      <c r="AH38" s="663"/>
      <c r="AI38" s="663"/>
      <c r="AJ38" s="663"/>
      <c r="AK38" s="663"/>
      <c r="AL38" s="663"/>
      <c r="AM38" s="663"/>
      <c r="AN38" s="663"/>
      <c r="AO38" s="663"/>
      <c r="AP38" s="663"/>
      <c r="AQ38" s="663"/>
      <c r="AR38" s="663"/>
      <c r="AS38" s="663"/>
      <c r="AT38" s="663"/>
      <c r="AU38" s="511">
        <v>537.53</v>
      </c>
      <c r="AV38" s="663"/>
    </row>
    <row r="39" spans="1:48" ht="16.5" thickBot="1">
      <c r="A39" s="122" t="s">
        <v>101</v>
      </c>
      <c r="B39" s="123" t="s">
        <v>57</v>
      </c>
      <c r="C39" s="423">
        <v>1718737.23</v>
      </c>
      <c r="D39" s="528">
        <v>1.66</v>
      </c>
      <c r="E39" s="423">
        <v>1714992.7</v>
      </c>
      <c r="F39" s="528">
        <v>1.66</v>
      </c>
      <c r="G39" s="423">
        <v>1700014.6</v>
      </c>
      <c r="H39" s="434">
        <v>1.64</v>
      </c>
      <c r="I39" s="423">
        <v>1696270.07</v>
      </c>
      <c r="J39" s="434">
        <v>1.63</v>
      </c>
      <c r="K39" s="423">
        <v>1692525.55</v>
      </c>
      <c r="L39" s="434">
        <v>1.64</v>
      </c>
      <c r="M39" s="423">
        <v>1688781.02</v>
      </c>
      <c r="N39" s="434">
        <v>1.64</v>
      </c>
      <c r="O39" s="423">
        <v>1685036.5</v>
      </c>
      <c r="P39" s="434">
        <v>1.63</v>
      </c>
      <c r="Q39" s="515">
        <v>1673802.92</v>
      </c>
      <c r="R39" s="434">
        <v>1.62</v>
      </c>
      <c r="S39" s="423">
        <v>1670058.39</v>
      </c>
      <c r="T39" s="434">
        <v>1.62</v>
      </c>
      <c r="U39" s="423">
        <v>1666313.87</v>
      </c>
      <c r="V39" s="434">
        <v>1.61</v>
      </c>
      <c r="W39" s="423">
        <v>1662569.34</v>
      </c>
      <c r="X39" s="434">
        <v>1.61</v>
      </c>
      <c r="Y39" s="423">
        <v>1658824.82</v>
      </c>
      <c r="Z39" s="434">
        <v>1.6</v>
      </c>
      <c r="AA39" s="423">
        <v>1647591.24</v>
      </c>
      <c r="AB39" s="434">
        <v>1.59</v>
      </c>
      <c r="AC39" s="423">
        <v>1643846.72</v>
      </c>
      <c r="AD39" s="434">
        <v>1.59</v>
      </c>
      <c r="AE39" s="613">
        <v>1640102.19</v>
      </c>
      <c r="AF39" s="434">
        <v>1.59</v>
      </c>
      <c r="AG39" s="666">
        <v>1636357.66</v>
      </c>
      <c r="AH39" s="667">
        <v>1.58</v>
      </c>
      <c r="AI39" s="423">
        <v>1632613.14</v>
      </c>
      <c r="AJ39" s="667">
        <v>1.57</v>
      </c>
      <c r="AK39" s="539">
        <v>1621379.56</v>
      </c>
      <c r="AL39" s="667">
        <v>1.57</v>
      </c>
      <c r="AM39" s="539">
        <v>1617635.04</v>
      </c>
      <c r="AN39" s="667">
        <v>1.56</v>
      </c>
      <c r="AO39" s="539">
        <v>1613890.51</v>
      </c>
      <c r="AP39" s="667">
        <v>1.56</v>
      </c>
      <c r="AQ39" s="539">
        <v>1610145.99</v>
      </c>
      <c r="AR39" s="667">
        <v>1.55</v>
      </c>
      <c r="AS39" s="539">
        <v>1606401.46</v>
      </c>
      <c r="AT39" s="667">
        <v>1.55</v>
      </c>
      <c r="AU39" s="515">
        <v>1595167.88</v>
      </c>
      <c r="AV39" s="667">
        <v>1.53</v>
      </c>
    </row>
    <row r="40" spans="1:48" ht="16.5" thickBot="1">
      <c r="A40" s="122" t="s">
        <v>29</v>
      </c>
      <c r="B40" s="123" t="s">
        <v>57</v>
      </c>
      <c r="C40" s="529"/>
      <c r="D40" s="518"/>
      <c r="E40" s="529"/>
      <c r="F40" s="518"/>
      <c r="G40" s="411"/>
      <c r="H40" s="436"/>
      <c r="I40" s="411"/>
      <c r="J40" s="436"/>
      <c r="K40" s="411"/>
      <c r="L40" s="436"/>
      <c r="M40" s="411"/>
      <c r="N40" s="436"/>
      <c r="O40" s="411"/>
      <c r="P40" s="436"/>
      <c r="Q40" s="411"/>
      <c r="R40" s="436"/>
      <c r="S40" s="411"/>
      <c r="T40" s="436"/>
      <c r="U40" s="411"/>
      <c r="V40" s="436"/>
      <c r="W40" s="411"/>
      <c r="X40" s="436"/>
      <c r="Y40" s="411"/>
      <c r="Z40" s="436"/>
      <c r="AA40" s="411"/>
      <c r="AB40" s="436"/>
      <c r="AC40" s="411"/>
      <c r="AD40" s="436"/>
      <c r="AE40" s="614"/>
      <c r="AF40" s="436"/>
      <c r="AG40" s="668"/>
      <c r="AH40" s="669"/>
      <c r="AI40" s="668"/>
      <c r="AJ40" s="669"/>
      <c r="AK40" s="668"/>
      <c r="AL40" s="669"/>
      <c r="AM40" s="668"/>
      <c r="AN40" s="669"/>
      <c r="AO40" s="668"/>
      <c r="AP40" s="669"/>
      <c r="AQ40" s="668"/>
      <c r="AR40" s="669"/>
      <c r="AS40" s="668"/>
      <c r="AT40" s="669"/>
      <c r="AU40" s="668"/>
      <c r="AV40" s="669"/>
    </row>
    <row r="41" spans="1:48" ht="16.5" thickBot="1">
      <c r="A41" s="122" t="s">
        <v>37</v>
      </c>
      <c r="B41" s="123" t="s">
        <v>57</v>
      </c>
      <c r="C41" s="529"/>
      <c r="D41" s="518"/>
      <c r="E41" s="529"/>
      <c r="F41" s="518"/>
      <c r="G41" s="411"/>
      <c r="H41" s="436"/>
      <c r="I41" s="411"/>
      <c r="J41" s="436"/>
      <c r="K41" s="411"/>
      <c r="L41" s="436"/>
      <c r="M41" s="411"/>
      <c r="N41" s="436"/>
      <c r="O41" s="411"/>
      <c r="P41" s="436"/>
      <c r="Q41" s="411"/>
      <c r="R41" s="436"/>
      <c r="S41" s="411"/>
      <c r="T41" s="436"/>
      <c r="U41" s="411"/>
      <c r="V41" s="436"/>
      <c r="W41" s="411"/>
      <c r="X41" s="436"/>
      <c r="Y41" s="411"/>
      <c r="Z41" s="436"/>
      <c r="AA41" s="411"/>
      <c r="AB41" s="436"/>
      <c r="AC41" s="411"/>
      <c r="AD41" s="436"/>
      <c r="AE41" s="614"/>
      <c r="AF41" s="436"/>
      <c r="AG41" s="668"/>
      <c r="AH41" s="669"/>
      <c r="AI41" s="668"/>
      <c r="AJ41" s="669"/>
      <c r="AK41" s="668"/>
      <c r="AL41" s="669"/>
      <c r="AM41" s="668"/>
      <c r="AN41" s="669"/>
      <c r="AO41" s="668"/>
      <c r="AP41" s="669"/>
      <c r="AQ41" s="668"/>
      <c r="AR41" s="669"/>
      <c r="AS41" s="668"/>
      <c r="AT41" s="669"/>
      <c r="AU41" s="668"/>
      <c r="AV41" s="669"/>
    </row>
    <row r="42" spans="1:48">
      <c r="A42" s="122" t="s">
        <v>68</v>
      </c>
      <c r="B42" s="123" t="s">
        <v>57</v>
      </c>
      <c r="C42" s="529">
        <v>980803.04999999993</v>
      </c>
      <c r="D42" s="528">
        <v>0.95</v>
      </c>
      <c r="E42" s="529">
        <v>979329.99000000011</v>
      </c>
      <c r="F42" s="528">
        <v>0.95</v>
      </c>
      <c r="G42" s="570">
        <v>973437.79</v>
      </c>
      <c r="H42" s="492">
        <v>0.94</v>
      </c>
      <c r="I42" s="570">
        <v>971964.74</v>
      </c>
      <c r="J42" s="492">
        <v>0.95</v>
      </c>
      <c r="K42" s="570">
        <v>970491.66999999993</v>
      </c>
      <c r="L42" s="492">
        <v>0.95</v>
      </c>
      <c r="M42" s="570">
        <v>969018.61</v>
      </c>
      <c r="N42" s="492">
        <v>0.95</v>
      </c>
      <c r="O42" s="570">
        <v>967545.55999999994</v>
      </c>
      <c r="P42" s="492">
        <v>0.95</v>
      </c>
      <c r="Q42" s="583">
        <v>963126.42</v>
      </c>
      <c r="R42" s="492">
        <v>0.94</v>
      </c>
      <c r="S42" s="570">
        <v>961653.37</v>
      </c>
      <c r="T42" s="492">
        <v>0.94</v>
      </c>
      <c r="U42" s="570">
        <v>960180.3</v>
      </c>
      <c r="V42" s="492">
        <v>0.94</v>
      </c>
      <c r="W42" s="570">
        <v>958707.25000000012</v>
      </c>
      <c r="X42" s="492">
        <v>0.94</v>
      </c>
      <c r="Y42" s="570">
        <v>957234.20000000007</v>
      </c>
      <c r="Z42" s="492">
        <v>0.93</v>
      </c>
      <c r="AA42" s="570">
        <v>952815.03</v>
      </c>
      <c r="AB42" s="492">
        <v>0.92</v>
      </c>
      <c r="AC42" s="570">
        <v>951342</v>
      </c>
      <c r="AD42" s="492">
        <v>0.92</v>
      </c>
      <c r="AE42" s="615">
        <v>1070533.98</v>
      </c>
      <c r="AF42" s="492">
        <v>1.04</v>
      </c>
      <c r="AG42" s="670">
        <v>1069060.92</v>
      </c>
      <c r="AH42" s="671">
        <v>1.05</v>
      </c>
      <c r="AI42" s="670">
        <v>1067587.8700000001</v>
      </c>
      <c r="AJ42" s="671">
        <v>1.04</v>
      </c>
      <c r="AK42" s="670">
        <v>1063168.7</v>
      </c>
      <c r="AL42" s="671">
        <v>1.02</v>
      </c>
      <c r="AM42" s="670">
        <v>1061695.6599999999</v>
      </c>
      <c r="AN42" s="671">
        <v>1.01</v>
      </c>
      <c r="AO42" s="670">
        <v>1060718.33</v>
      </c>
      <c r="AP42" s="671">
        <v>1.02</v>
      </c>
      <c r="AQ42" s="670">
        <v>1059134.6100000001</v>
      </c>
      <c r="AR42" s="671">
        <v>1.02</v>
      </c>
      <c r="AS42" s="670">
        <v>1057550.9099999999</v>
      </c>
      <c r="AT42" s="671">
        <v>1.01</v>
      </c>
      <c r="AU42" s="700">
        <v>1052799.81</v>
      </c>
      <c r="AV42" s="671">
        <v>1.02</v>
      </c>
    </row>
    <row r="43" spans="1:48">
      <c r="A43" s="129" t="s">
        <v>69</v>
      </c>
      <c r="B43" s="123" t="s">
        <v>57</v>
      </c>
      <c r="C43" s="438"/>
      <c r="D43" s="526"/>
      <c r="E43" s="438"/>
      <c r="F43" s="526"/>
      <c r="G43" s="517"/>
      <c r="H43" s="433"/>
      <c r="I43" s="517"/>
      <c r="J43" s="433"/>
      <c r="K43" s="517"/>
      <c r="L43" s="433"/>
      <c r="M43" s="517"/>
      <c r="N43" s="433"/>
      <c r="O43" s="517"/>
      <c r="P43" s="433"/>
      <c r="Q43" s="517"/>
      <c r="R43" s="433"/>
      <c r="S43" s="517"/>
      <c r="T43" s="433"/>
      <c r="U43" s="517"/>
      <c r="V43" s="433"/>
      <c r="W43" s="517"/>
      <c r="X43" s="433"/>
      <c r="Y43" s="517"/>
      <c r="Z43" s="433"/>
      <c r="AA43" s="517"/>
      <c r="AB43" s="433"/>
      <c r="AC43" s="517"/>
      <c r="AD43" s="433"/>
      <c r="AE43" s="616"/>
      <c r="AF43" s="433"/>
      <c r="AG43" s="672"/>
      <c r="AH43" s="673"/>
      <c r="AI43" s="672"/>
      <c r="AJ43" s="673"/>
      <c r="AK43" s="672"/>
      <c r="AL43" s="673"/>
      <c r="AM43" s="672"/>
      <c r="AN43" s="673"/>
      <c r="AO43" s="672"/>
      <c r="AP43" s="673"/>
      <c r="AQ43" s="672"/>
      <c r="AR43" s="673"/>
      <c r="AS43" s="672"/>
      <c r="AT43" s="673"/>
      <c r="AU43" s="672"/>
      <c r="AV43" s="673"/>
    </row>
    <row r="44" spans="1:48" ht="48" thickBot="1">
      <c r="A44" s="122" t="s">
        <v>70</v>
      </c>
      <c r="B44" s="123" t="s">
        <v>76</v>
      </c>
      <c r="C44" s="537">
        <v>2208900</v>
      </c>
      <c r="D44" s="531">
        <v>2.13</v>
      </c>
      <c r="E44" s="537">
        <v>2208900</v>
      </c>
      <c r="F44" s="531">
        <v>2.14</v>
      </c>
      <c r="G44" s="571">
        <v>2208900</v>
      </c>
      <c r="H44" s="439">
        <v>2.13</v>
      </c>
      <c r="I44" s="574">
        <v>2109400</v>
      </c>
      <c r="J44" s="439">
        <v>2.0299999999999998</v>
      </c>
      <c r="K44" s="574">
        <v>2109400</v>
      </c>
      <c r="L44" s="439">
        <v>2.0499999999999998</v>
      </c>
      <c r="M44" s="574">
        <v>2109400</v>
      </c>
      <c r="N44" s="439">
        <v>2.0499999999999998</v>
      </c>
      <c r="O44" s="574">
        <v>2109400</v>
      </c>
      <c r="P44" s="439">
        <v>2.04</v>
      </c>
      <c r="Q44" s="584">
        <v>2109400</v>
      </c>
      <c r="R44" s="439">
        <v>2.04</v>
      </c>
      <c r="S44" s="574">
        <v>2109400</v>
      </c>
      <c r="T44" s="439">
        <v>2.04</v>
      </c>
      <c r="U44" s="574">
        <v>2109400</v>
      </c>
      <c r="V44" s="439">
        <v>2.04</v>
      </c>
      <c r="W44" s="574">
        <v>2109400</v>
      </c>
      <c r="X44" s="439">
        <v>2.04</v>
      </c>
      <c r="Y44" s="574">
        <v>2109400</v>
      </c>
      <c r="Z44" s="439">
        <v>2.04</v>
      </c>
      <c r="AA44" s="574">
        <v>2109400</v>
      </c>
      <c r="AB44" s="439">
        <v>2.04</v>
      </c>
      <c r="AC44" s="574">
        <v>2109400</v>
      </c>
      <c r="AD44" s="439">
        <v>2.04</v>
      </c>
      <c r="AE44" s="617">
        <v>2109400</v>
      </c>
      <c r="AF44" s="439">
        <v>2.04</v>
      </c>
      <c r="AG44" s="674">
        <v>2109400</v>
      </c>
      <c r="AH44" s="665">
        <v>2.04</v>
      </c>
      <c r="AI44" s="674">
        <v>2109400</v>
      </c>
      <c r="AJ44" s="665">
        <v>2.04</v>
      </c>
      <c r="AK44" s="674">
        <v>2109400</v>
      </c>
      <c r="AL44" s="665">
        <v>2.0299999999999998</v>
      </c>
      <c r="AM44" s="674">
        <v>2109400</v>
      </c>
      <c r="AN44" s="665">
        <v>2.04</v>
      </c>
      <c r="AO44" s="674">
        <v>2109400</v>
      </c>
      <c r="AP44" s="665">
        <v>2.04</v>
      </c>
      <c r="AQ44" s="674">
        <v>2109400</v>
      </c>
      <c r="AR44" s="665">
        <v>2.0299999999999998</v>
      </c>
      <c r="AS44" s="674">
        <v>2109400</v>
      </c>
      <c r="AT44" s="665">
        <v>2.0299999999999998</v>
      </c>
      <c r="AU44" s="701">
        <v>2109400</v>
      </c>
      <c r="AV44" s="665">
        <v>2.0299999999999998</v>
      </c>
    </row>
    <row r="45" spans="1:48" ht="15">
      <c r="A45" s="696" t="s">
        <v>105</v>
      </c>
      <c r="B45" s="696" t="s">
        <v>105</v>
      </c>
      <c r="C45" s="530"/>
      <c r="D45" s="518"/>
      <c r="E45" s="530"/>
      <c r="F45" s="518"/>
      <c r="G45" s="435"/>
      <c r="H45" s="436"/>
      <c r="I45" s="435"/>
      <c r="J45" s="436"/>
      <c r="K45" s="435"/>
      <c r="L45" s="436"/>
      <c r="M45" s="435"/>
      <c r="N45" s="436"/>
      <c r="O45" s="435"/>
      <c r="P45" s="436"/>
      <c r="Q45" s="435"/>
      <c r="R45" s="436"/>
      <c r="S45" s="435"/>
      <c r="T45" s="436"/>
      <c r="U45" s="435"/>
      <c r="V45" s="436"/>
      <c r="W45" s="435"/>
      <c r="X45" s="436"/>
      <c r="Y45" s="435"/>
      <c r="Z45" s="436"/>
      <c r="AA45" s="435"/>
      <c r="AB45" s="436"/>
      <c r="AC45" s="435"/>
      <c r="AD45" s="436"/>
      <c r="AE45" s="614"/>
      <c r="AF45" s="436"/>
      <c r="AG45" s="668"/>
      <c r="AH45" s="669"/>
      <c r="AI45" s="524">
        <v>100950.43</v>
      </c>
      <c r="AJ45" s="667">
        <v>0.1</v>
      </c>
      <c r="AK45" s="524">
        <v>100950.43</v>
      </c>
      <c r="AL45" s="667">
        <v>0.1</v>
      </c>
      <c r="AM45" s="524">
        <v>100950.43</v>
      </c>
      <c r="AN45" s="667">
        <v>0.1</v>
      </c>
      <c r="AO45" s="524"/>
      <c r="AP45" s="667"/>
      <c r="AQ45" s="524"/>
      <c r="AR45" s="667"/>
      <c r="AS45" s="524"/>
      <c r="AT45" s="667"/>
      <c r="AU45" s="524"/>
      <c r="AV45" s="667"/>
    </row>
    <row r="46" spans="1:48" ht="16.5" thickBot="1">
      <c r="A46" s="122" t="s">
        <v>49</v>
      </c>
      <c r="B46" s="123" t="s">
        <v>50</v>
      </c>
      <c r="C46" s="549">
        <v>27349.58</v>
      </c>
      <c r="D46" s="531">
        <v>0.03</v>
      </c>
      <c r="E46" s="549">
        <v>27349.58</v>
      </c>
      <c r="F46" s="531">
        <v>0.03</v>
      </c>
      <c r="G46" s="550">
        <v>24274.11</v>
      </c>
      <c r="H46" s="439">
        <v>0.02</v>
      </c>
      <c r="I46" s="550">
        <v>24274.11</v>
      </c>
      <c r="J46" s="439">
        <v>0.02</v>
      </c>
      <c r="K46" s="575">
        <v>24438.48</v>
      </c>
      <c r="L46" s="439">
        <v>0.02</v>
      </c>
      <c r="M46" s="575">
        <v>24438.48</v>
      </c>
      <c r="N46" s="439">
        <v>0.02</v>
      </c>
      <c r="O46" s="575">
        <v>25447.21</v>
      </c>
      <c r="P46" s="439">
        <v>0.02</v>
      </c>
      <c r="Q46" s="575">
        <v>25447.21</v>
      </c>
      <c r="R46" s="439">
        <v>0.02</v>
      </c>
      <c r="S46" s="582">
        <v>26194.12</v>
      </c>
      <c r="T46" s="439">
        <v>0.02</v>
      </c>
      <c r="U46" s="582">
        <v>26194.12</v>
      </c>
      <c r="V46" s="439">
        <v>0.02</v>
      </c>
      <c r="W46" s="582">
        <v>16530.95</v>
      </c>
      <c r="X46" s="439">
        <v>0.01</v>
      </c>
      <c r="Y46" s="587">
        <v>16530.95</v>
      </c>
      <c r="Z46" s="439">
        <v>0.01</v>
      </c>
      <c r="AA46" s="587">
        <v>16530.95</v>
      </c>
      <c r="AB46" s="439">
        <v>0.01</v>
      </c>
      <c r="AC46" s="592">
        <v>21592.95</v>
      </c>
      <c r="AD46" s="439">
        <v>0.01</v>
      </c>
      <c r="AE46" s="618">
        <v>21592.95</v>
      </c>
      <c r="AF46" s="439">
        <v>0.01</v>
      </c>
      <c r="AG46" s="675">
        <v>21592.95</v>
      </c>
      <c r="AH46" s="665">
        <v>0.01</v>
      </c>
      <c r="AI46" s="675">
        <v>21592.95</v>
      </c>
      <c r="AJ46" s="665">
        <v>0.01</v>
      </c>
      <c r="AK46" s="675">
        <v>21592.95</v>
      </c>
      <c r="AL46" s="665">
        <v>0.01</v>
      </c>
      <c r="AM46" s="675">
        <v>21592.95</v>
      </c>
      <c r="AN46" s="665">
        <v>0.01</v>
      </c>
      <c r="AO46" s="675">
        <v>21592.95</v>
      </c>
      <c r="AP46" s="665">
        <v>0.01</v>
      </c>
      <c r="AQ46" s="675">
        <v>21592.95</v>
      </c>
      <c r="AR46" s="665">
        <v>0.01</v>
      </c>
      <c r="AS46" s="675">
        <v>21592.95</v>
      </c>
      <c r="AT46" s="665">
        <v>0.01</v>
      </c>
      <c r="AU46" s="510">
        <v>22020.82</v>
      </c>
      <c r="AV46" s="665">
        <v>0.01</v>
      </c>
    </row>
    <row r="47" spans="1:48" ht="48" thickBot="1">
      <c r="A47" s="122" t="s">
        <v>56</v>
      </c>
      <c r="B47" s="123" t="s">
        <v>77</v>
      </c>
      <c r="C47" s="476">
        <v>10227.56</v>
      </c>
      <c r="D47" s="518">
        <v>0.01</v>
      </c>
      <c r="E47" s="476">
        <v>10227.56</v>
      </c>
      <c r="F47" s="518">
        <v>0.01</v>
      </c>
      <c r="G47" s="536">
        <v>2199.64</v>
      </c>
      <c r="H47" s="434">
        <v>0</v>
      </c>
      <c r="I47" s="536">
        <v>2199.64</v>
      </c>
      <c r="J47" s="434">
        <v>0</v>
      </c>
      <c r="K47" s="536">
        <v>2199.64</v>
      </c>
      <c r="L47" s="434">
        <v>0</v>
      </c>
      <c r="M47" s="536">
        <v>2199.64</v>
      </c>
      <c r="N47" s="434">
        <v>0</v>
      </c>
      <c r="O47" s="536">
        <v>2199.64</v>
      </c>
      <c r="P47" s="434">
        <v>0</v>
      </c>
      <c r="Q47" s="536">
        <v>2199.64</v>
      </c>
      <c r="R47" s="434">
        <v>0</v>
      </c>
      <c r="S47" s="549">
        <v>6937.44</v>
      </c>
      <c r="T47" s="434">
        <v>0.01</v>
      </c>
      <c r="U47" s="549">
        <v>6937.44</v>
      </c>
      <c r="V47" s="434">
        <v>0.01</v>
      </c>
      <c r="W47" s="549">
        <v>6937.44</v>
      </c>
      <c r="X47" s="434">
        <v>0.01</v>
      </c>
      <c r="Y47" s="549">
        <v>6937.44</v>
      </c>
      <c r="Z47" s="434">
        <v>0.01</v>
      </c>
      <c r="AA47" s="549">
        <v>6937.44</v>
      </c>
      <c r="AB47" s="434">
        <v>0.01</v>
      </c>
      <c r="AC47" s="549">
        <v>6937.44</v>
      </c>
      <c r="AD47" s="434">
        <v>0.01</v>
      </c>
      <c r="AE47" s="619">
        <v>6937.44</v>
      </c>
      <c r="AF47" s="434">
        <v>0.01</v>
      </c>
      <c r="AG47" s="676">
        <v>6937.44</v>
      </c>
      <c r="AH47" s="667">
        <v>0.01</v>
      </c>
      <c r="AI47" s="676">
        <v>6937.44</v>
      </c>
      <c r="AJ47" s="667">
        <v>0.01</v>
      </c>
      <c r="AK47" s="676">
        <v>6937.44</v>
      </c>
      <c r="AL47" s="667">
        <v>0.01</v>
      </c>
      <c r="AM47" s="676">
        <v>6937.44</v>
      </c>
      <c r="AN47" s="667">
        <v>0.01</v>
      </c>
      <c r="AO47" s="676">
        <v>6937.44</v>
      </c>
      <c r="AP47" s="667">
        <v>0.01</v>
      </c>
      <c r="AQ47" s="676">
        <v>6937.44</v>
      </c>
      <c r="AR47" s="667">
        <v>0.01</v>
      </c>
      <c r="AS47" s="676">
        <v>6937.44</v>
      </c>
      <c r="AT47" s="667">
        <v>0.01</v>
      </c>
      <c r="AU47" s="511">
        <v>1046.51</v>
      </c>
      <c r="AV47" s="667">
        <v>0</v>
      </c>
    </row>
    <row r="48" spans="1:48" ht="79.5" thickBot="1">
      <c r="A48" s="132" t="s">
        <v>72</v>
      </c>
      <c r="B48" s="123" t="s">
        <v>78</v>
      </c>
      <c r="C48" s="536">
        <v>8552.74</v>
      </c>
      <c r="D48" s="518">
        <v>0.01</v>
      </c>
      <c r="E48" s="536">
        <v>8552.74</v>
      </c>
      <c r="F48" s="518">
        <v>0.01</v>
      </c>
      <c r="G48" s="536">
        <v>6068.64</v>
      </c>
      <c r="H48" s="434">
        <v>0.01</v>
      </c>
      <c r="I48" s="536">
        <v>6068.64</v>
      </c>
      <c r="J48" s="434">
        <v>0.01</v>
      </c>
      <c r="K48" s="549">
        <v>7054.84</v>
      </c>
      <c r="L48" s="434">
        <v>0.01</v>
      </c>
      <c r="M48" s="549">
        <v>7054.84</v>
      </c>
      <c r="N48" s="434">
        <v>0.01</v>
      </c>
      <c r="O48" s="549">
        <v>7054.84</v>
      </c>
      <c r="P48" s="434">
        <v>0.01</v>
      </c>
      <c r="Q48" s="549">
        <v>7054.84</v>
      </c>
      <c r="R48" s="434">
        <v>0.01</v>
      </c>
      <c r="S48" s="549">
        <v>7054.84</v>
      </c>
      <c r="T48" s="434">
        <v>0.01</v>
      </c>
      <c r="U48" s="549">
        <v>7054.84</v>
      </c>
      <c r="V48" s="434">
        <v>0.01</v>
      </c>
      <c r="W48" s="549">
        <v>7054.84</v>
      </c>
      <c r="X48" s="434">
        <v>0.01</v>
      </c>
      <c r="Y48" s="549">
        <v>7054.84</v>
      </c>
      <c r="Z48" s="434">
        <v>0.01</v>
      </c>
      <c r="AA48" s="549">
        <v>7054.84</v>
      </c>
      <c r="AB48" s="434">
        <v>0.01</v>
      </c>
      <c r="AC48" s="549">
        <v>7054.84</v>
      </c>
      <c r="AD48" s="434">
        <v>0.01</v>
      </c>
      <c r="AE48" s="619">
        <v>7054.84</v>
      </c>
      <c r="AF48" s="434">
        <v>0.01</v>
      </c>
      <c r="AG48" s="676">
        <v>7054.84</v>
      </c>
      <c r="AH48" s="667">
        <v>0.01</v>
      </c>
      <c r="AI48" s="676">
        <v>7054.84</v>
      </c>
      <c r="AJ48" s="667">
        <v>0.01</v>
      </c>
      <c r="AK48" s="676">
        <v>7054.84</v>
      </c>
      <c r="AL48" s="667">
        <v>0.01</v>
      </c>
      <c r="AM48" s="676">
        <v>7054.84</v>
      </c>
      <c r="AN48" s="667">
        <v>0.01</v>
      </c>
      <c r="AO48" s="676">
        <v>7054.84</v>
      </c>
      <c r="AP48" s="667">
        <v>0.01</v>
      </c>
      <c r="AQ48" s="676">
        <v>7054.84</v>
      </c>
      <c r="AR48" s="667">
        <v>0.01</v>
      </c>
      <c r="AS48" s="676">
        <v>7054.84</v>
      </c>
      <c r="AT48" s="667">
        <v>0.01</v>
      </c>
      <c r="AU48" s="511">
        <v>5303.55</v>
      </c>
      <c r="AV48" s="667">
        <v>0.01</v>
      </c>
    </row>
    <row r="49" spans="1:48" ht="32.25" thickBot="1">
      <c r="A49" s="132" t="s">
        <v>51</v>
      </c>
      <c r="B49" s="123" t="s">
        <v>52</v>
      </c>
      <c r="C49" s="476">
        <v>0.1</v>
      </c>
      <c r="D49" s="457">
        <v>0</v>
      </c>
      <c r="E49" s="476">
        <v>0.1</v>
      </c>
      <c r="F49" s="457">
        <v>0</v>
      </c>
      <c r="G49" s="536">
        <v>30810.11</v>
      </c>
      <c r="H49" s="434">
        <v>0.03</v>
      </c>
      <c r="I49" s="536">
        <v>30810.11</v>
      </c>
      <c r="J49" s="434">
        <v>0.03</v>
      </c>
      <c r="K49" s="536">
        <v>30810.11</v>
      </c>
      <c r="L49" s="434">
        <v>0.03</v>
      </c>
      <c r="M49" s="435"/>
      <c r="N49" s="436"/>
      <c r="O49" s="435"/>
      <c r="P49" s="436"/>
      <c r="Q49" s="435"/>
      <c r="R49" s="436"/>
      <c r="S49" s="435"/>
      <c r="T49" s="436"/>
      <c r="U49" s="435"/>
      <c r="V49" s="436"/>
      <c r="W49" s="435"/>
      <c r="X49" s="436"/>
      <c r="Y49" s="435"/>
      <c r="Z49" s="436"/>
      <c r="AA49" s="435"/>
      <c r="AB49" s="436"/>
      <c r="AC49" s="435"/>
      <c r="AD49" s="436"/>
      <c r="AE49" s="614"/>
      <c r="AF49" s="436"/>
      <c r="AG49" s="668"/>
      <c r="AH49" s="669"/>
      <c r="AI49" s="668"/>
      <c r="AJ49" s="669"/>
      <c r="AK49" s="668"/>
      <c r="AL49" s="669"/>
      <c r="AM49" s="668"/>
      <c r="AN49" s="669"/>
      <c r="AO49" s="668"/>
      <c r="AP49" s="669"/>
      <c r="AQ49" s="668"/>
      <c r="AR49" s="669"/>
      <c r="AS49" s="668"/>
      <c r="AT49" s="669"/>
      <c r="AU49" s="700">
        <v>33586.619999999995</v>
      </c>
      <c r="AV49" s="667">
        <v>0.03</v>
      </c>
    </row>
    <row r="50" spans="1:48" thickBot="1">
      <c r="A50" s="1049" t="s">
        <v>127</v>
      </c>
      <c r="B50" s="1050"/>
      <c r="C50" s="457"/>
      <c r="D50" s="457"/>
      <c r="E50" s="457"/>
      <c r="F50" s="457"/>
      <c r="G50" s="434">
        <v>44414.5</v>
      </c>
      <c r="H50" s="434">
        <v>0.04</v>
      </c>
      <c r="I50" s="434">
        <v>44414.5</v>
      </c>
      <c r="J50" s="434">
        <v>0.04</v>
      </c>
      <c r="K50" s="434">
        <v>44414.5</v>
      </c>
      <c r="L50" s="434">
        <v>0.04</v>
      </c>
      <c r="M50" s="434">
        <v>44414.5</v>
      </c>
      <c r="N50" s="434">
        <v>0.04</v>
      </c>
      <c r="O50" s="435"/>
      <c r="P50" s="436"/>
      <c r="Q50" s="435"/>
      <c r="R50" s="436"/>
      <c r="S50" s="435"/>
      <c r="T50" s="436"/>
      <c r="U50" s="435"/>
      <c r="V50" s="436"/>
      <c r="W50" s="435"/>
      <c r="X50" s="436"/>
      <c r="Y50" s="435"/>
      <c r="Z50" s="436"/>
      <c r="AA50" s="435"/>
      <c r="AB50" s="436"/>
      <c r="AC50" s="435"/>
      <c r="AD50" s="436"/>
      <c r="AE50" s="614"/>
      <c r="AF50" s="436"/>
      <c r="AG50" s="668"/>
      <c r="AH50" s="669"/>
      <c r="AI50" s="668"/>
      <c r="AJ50" s="669"/>
      <c r="AK50" s="668"/>
      <c r="AL50" s="669"/>
      <c r="AM50" s="668"/>
      <c r="AN50" s="669"/>
      <c r="AO50" s="668"/>
      <c r="AP50" s="669"/>
      <c r="AQ50" s="668"/>
      <c r="AR50" s="669"/>
      <c r="AS50" s="668"/>
      <c r="AT50" s="669"/>
      <c r="AU50" s="700">
        <v>43138.01</v>
      </c>
      <c r="AV50" s="667">
        <v>0.04</v>
      </c>
    </row>
    <row r="51" spans="1:48" ht="32.25" thickBot="1">
      <c r="A51" s="133" t="s">
        <v>73</v>
      </c>
      <c r="B51" s="134" t="s">
        <v>53</v>
      </c>
      <c r="C51" s="457"/>
      <c r="D51" s="457"/>
      <c r="E51" s="457"/>
      <c r="F51" s="457"/>
      <c r="G51" s="434">
        <v>81330.510000000009</v>
      </c>
      <c r="H51" s="434">
        <v>0.08</v>
      </c>
      <c r="I51" s="434">
        <v>81330.510000000009</v>
      </c>
      <c r="J51" s="434">
        <v>0.08</v>
      </c>
      <c r="K51" s="434">
        <v>81330.510000000009</v>
      </c>
      <c r="L51" s="434">
        <v>0.08</v>
      </c>
      <c r="M51" s="434">
        <v>81330.510000000009</v>
      </c>
      <c r="N51" s="434">
        <v>0.08</v>
      </c>
      <c r="O51" s="435"/>
      <c r="P51" s="436"/>
      <c r="Q51" s="435"/>
      <c r="R51" s="436"/>
      <c r="S51" s="435"/>
      <c r="T51" s="436"/>
      <c r="U51" s="435"/>
      <c r="V51" s="436"/>
      <c r="W51" s="435"/>
      <c r="X51" s="436"/>
      <c r="Y51" s="435"/>
      <c r="Z51" s="436"/>
      <c r="AA51" s="435"/>
      <c r="AB51" s="436"/>
      <c r="AC51" s="435"/>
      <c r="AD51" s="436"/>
      <c r="AE51" s="614"/>
      <c r="AF51" s="436"/>
      <c r="AG51" s="668"/>
      <c r="AH51" s="669"/>
      <c r="AI51" s="668"/>
      <c r="AJ51" s="669"/>
      <c r="AK51" s="668"/>
      <c r="AL51" s="669"/>
      <c r="AM51" s="668"/>
      <c r="AN51" s="669"/>
      <c r="AO51" s="668"/>
      <c r="AP51" s="669"/>
      <c r="AQ51" s="668"/>
      <c r="AR51" s="669"/>
      <c r="AS51" s="668"/>
      <c r="AT51" s="669"/>
      <c r="AU51" s="700">
        <v>78987.989999999991</v>
      </c>
      <c r="AV51" s="667">
        <v>0.08</v>
      </c>
    </row>
    <row r="52" spans="1:48" ht="32.25" thickBot="1">
      <c r="A52" s="122" t="s">
        <v>54</v>
      </c>
      <c r="B52" s="123" t="s">
        <v>79</v>
      </c>
      <c r="C52" s="476">
        <v>3215.95</v>
      </c>
      <c r="D52" s="436">
        <v>0</v>
      </c>
      <c r="E52" s="476">
        <v>3215.95</v>
      </c>
      <c r="F52" s="436">
        <v>0</v>
      </c>
      <c r="G52" s="536">
        <v>7006</v>
      </c>
      <c r="H52" s="434">
        <v>0</v>
      </c>
      <c r="I52" s="536">
        <v>7006</v>
      </c>
      <c r="J52" s="434">
        <v>0</v>
      </c>
      <c r="K52" s="536">
        <v>7006</v>
      </c>
      <c r="L52" s="434">
        <v>0.01</v>
      </c>
      <c r="M52" s="536">
        <v>7006</v>
      </c>
      <c r="N52" s="434">
        <v>0.01</v>
      </c>
      <c r="O52" s="435"/>
      <c r="P52" s="436"/>
      <c r="Q52" s="435"/>
      <c r="R52" s="436"/>
      <c r="S52" s="435"/>
      <c r="T52" s="436"/>
      <c r="U52" s="435"/>
      <c r="V52" s="436"/>
      <c r="W52" s="435"/>
      <c r="X52" s="436"/>
      <c r="Y52" s="435"/>
      <c r="Z52" s="436"/>
      <c r="AA52" s="435"/>
      <c r="AB52" s="436"/>
      <c r="AC52" s="435"/>
      <c r="AD52" s="436"/>
      <c r="AE52" s="614"/>
      <c r="AF52" s="436"/>
      <c r="AG52" s="668"/>
      <c r="AH52" s="669"/>
      <c r="AI52" s="668"/>
      <c r="AJ52" s="669"/>
      <c r="AK52" s="668"/>
      <c r="AL52" s="669"/>
      <c r="AM52" s="668"/>
      <c r="AN52" s="669"/>
      <c r="AO52" s="668"/>
      <c r="AP52" s="669"/>
      <c r="AQ52" s="668"/>
      <c r="AR52" s="669"/>
      <c r="AS52" s="668"/>
      <c r="AT52" s="669"/>
      <c r="AU52" s="511">
        <v>4315.58</v>
      </c>
      <c r="AV52" s="667"/>
    </row>
    <row r="53" spans="1:48" ht="32.25" thickBot="1">
      <c r="A53" s="135" t="s">
        <v>55</v>
      </c>
      <c r="B53" s="223" t="s">
        <v>80</v>
      </c>
      <c r="C53" s="436"/>
      <c r="D53" s="436"/>
      <c r="E53" s="436"/>
      <c r="F53" s="436"/>
      <c r="G53" s="536">
        <v>2323.12</v>
      </c>
      <c r="H53" s="434"/>
      <c r="I53" s="536">
        <v>2323.12</v>
      </c>
      <c r="J53" s="434"/>
      <c r="K53" s="536">
        <v>2323.12</v>
      </c>
      <c r="L53" s="434"/>
      <c r="M53" s="536">
        <v>2323.12</v>
      </c>
      <c r="N53" s="434"/>
      <c r="O53" s="536">
        <v>2323.12</v>
      </c>
      <c r="P53" s="434"/>
      <c r="Q53" s="536">
        <v>2323.12</v>
      </c>
      <c r="R53" s="434"/>
      <c r="S53" s="536">
        <v>2323.12</v>
      </c>
      <c r="T53" s="434"/>
      <c r="U53" s="536">
        <v>2323.12</v>
      </c>
      <c r="V53" s="434"/>
      <c r="W53" s="536">
        <v>2323.12</v>
      </c>
      <c r="X53" s="434"/>
      <c r="Y53" s="536">
        <v>2323.12</v>
      </c>
      <c r="Z53" s="434"/>
      <c r="AA53" s="435"/>
      <c r="AB53" s="436"/>
      <c r="AC53" s="435"/>
      <c r="AD53" s="436"/>
      <c r="AE53" s="614"/>
      <c r="AF53" s="436"/>
      <c r="AG53" s="668"/>
      <c r="AH53" s="669"/>
      <c r="AI53" s="668"/>
      <c r="AJ53" s="669"/>
      <c r="AK53" s="668"/>
      <c r="AL53" s="669"/>
      <c r="AM53" s="668"/>
      <c r="AN53" s="669"/>
      <c r="AO53" s="668"/>
      <c r="AP53" s="669"/>
      <c r="AQ53" s="668"/>
      <c r="AR53" s="669"/>
      <c r="AS53" s="668"/>
      <c r="AT53" s="669"/>
      <c r="AU53" s="511">
        <v>3330.71</v>
      </c>
      <c r="AV53" s="667"/>
    </row>
    <row r="54" spans="1:48" ht="16.5" thickBot="1">
      <c r="A54" s="221" t="s">
        <v>99</v>
      </c>
      <c r="B54" s="222"/>
      <c r="C54" s="436"/>
      <c r="D54" s="436"/>
      <c r="E54" s="436"/>
      <c r="F54" s="558"/>
      <c r="G54" s="561"/>
      <c r="H54" s="436"/>
      <c r="I54" s="561"/>
      <c r="J54" s="436"/>
      <c r="K54" s="561"/>
      <c r="L54" s="436"/>
      <c r="M54" s="561"/>
      <c r="N54" s="436"/>
      <c r="O54" s="561"/>
      <c r="P54" s="436"/>
      <c r="Q54" s="561"/>
      <c r="R54" s="436"/>
      <c r="S54" s="561"/>
      <c r="T54" s="436"/>
      <c r="U54" s="561"/>
      <c r="V54" s="436"/>
      <c r="W54" s="561"/>
      <c r="X54" s="436"/>
      <c r="Y54" s="561"/>
      <c r="Z54" s="436"/>
      <c r="AA54" s="561"/>
      <c r="AB54" s="436"/>
      <c r="AC54" s="561"/>
      <c r="AD54" s="436"/>
      <c r="AE54" s="620"/>
      <c r="AF54" s="436"/>
      <c r="AG54" s="677"/>
      <c r="AH54" s="669"/>
      <c r="AI54" s="677"/>
      <c r="AJ54" s="669"/>
      <c r="AK54" s="677"/>
      <c r="AL54" s="669"/>
      <c r="AM54" s="677"/>
      <c r="AN54" s="669"/>
      <c r="AO54" s="677"/>
      <c r="AP54" s="669"/>
      <c r="AQ54" s="677"/>
      <c r="AR54" s="669"/>
      <c r="AS54" s="677"/>
      <c r="AT54" s="669"/>
      <c r="AU54" s="677"/>
      <c r="AV54" s="669"/>
    </row>
    <row r="55" spans="1:48" ht="15">
      <c r="A55" s="1045" t="s">
        <v>103</v>
      </c>
      <c r="B55" s="1046" t="s">
        <v>103</v>
      </c>
      <c r="C55" s="524">
        <v>66978.490000000005</v>
      </c>
      <c r="D55" s="532">
        <v>0.06</v>
      </c>
      <c r="E55" s="524">
        <v>69554.59</v>
      </c>
      <c r="F55" s="532">
        <v>7.0000000000000007E-2</v>
      </c>
      <c r="G55" s="562">
        <v>7728.29</v>
      </c>
      <c r="H55" s="563">
        <v>0.01</v>
      </c>
      <c r="I55" s="556">
        <v>10304.379999999999</v>
      </c>
      <c r="J55" s="563">
        <v>0.01</v>
      </c>
      <c r="K55" s="556">
        <v>12880.48</v>
      </c>
      <c r="L55" s="563">
        <v>0.01</v>
      </c>
      <c r="M55" s="524">
        <v>15456.58</v>
      </c>
      <c r="N55" s="563">
        <v>0.01</v>
      </c>
      <c r="O55" s="524">
        <v>18032.669999999998</v>
      </c>
      <c r="P55" s="563">
        <v>0.02</v>
      </c>
      <c r="Q55" s="524">
        <v>25760.959999999999</v>
      </c>
      <c r="R55" s="563">
        <v>0.02</v>
      </c>
      <c r="S55" s="524">
        <v>28337.05</v>
      </c>
      <c r="T55" s="563">
        <v>0.03</v>
      </c>
      <c r="U55" s="524">
        <v>30913.15</v>
      </c>
      <c r="V55" s="563">
        <v>0.03</v>
      </c>
      <c r="W55" s="524">
        <v>33489.25</v>
      </c>
      <c r="X55" s="586">
        <v>0.03</v>
      </c>
      <c r="Y55" s="524">
        <v>36065.339999999997</v>
      </c>
      <c r="Z55" s="586">
        <v>0.03</v>
      </c>
      <c r="AA55" s="524">
        <v>43793.63</v>
      </c>
      <c r="AB55" s="586">
        <v>0.04</v>
      </c>
      <c r="AC55" s="524">
        <v>46369.73</v>
      </c>
      <c r="AD55" s="586">
        <v>0.04</v>
      </c>
      <c r="AE55" s="621">
        <v>48945.82</v>
      </c>
      <c r="AF55" s="586">
        <v>0.05</v>
      </c>
      <c r="AG55" s="664">
        <v>51521.919999999998</v>
      </c>
      <c r="AH55" s="678">
        <v>0.05</v>
      </c>
      <c r="AI55" s="473">
        <v>54098.01</v>
      </c>
      <c r="AJ55" s="678">
        <v>0.05</v>
      </c>
      <c r="AK55" s="473">
        <v>61826.3</v>
      </c>
      <c r="AL55" s="678">
        <v>0.06</v>
      </c>
      <c r="AM55" s="473">
        <v>64402.400000000001</v>
      </c>
      <c r="AN55" s="678">
        <v>0.06</v>
      </c>
      <c r="AO55" s="473">
        <v>66978.490000000005</v>
      </c>
      <c r="AP55" s="678">
        <v>0.06</v>
      </c>
      <c r="AQ55" s="473">
        <v>69554.59</v>
      </c>
      <c r="AR55" s="678">
        <v>7.0000000000000007E-2</v>
      </c>
      <c r="AS55" s="473">
        <v>72130.679999999993</v>
      </c>
      <c r="AT55" s="678">
        <v>7.0000000000000007E-2</v>
      </c>
      <c r="AU55" s="511">
        <v>79858.97</v>
      </c>
      <c r="AV55" s="678">
        <v>0.08</v>
      </c>
    </row>
    <row r="56" spans="1:48" ht="15">
      <c r="A56" s="1032" t="s">
        <v>39</v>
      </c>
      <c r="B56" s="1044" t="s">
        <v>39</v>
      </c>
      <c r="C56" s="473">
        <v>18973.150000000001</v>
      </c>
      <c r="D56" s="532">
        <v>0.02</v>
      </c>
      <c r="E56" s="473">
        <v>19627.400000000001</v>
      </c>
      <c r="F56" s="532">
        <v>0.02</v>
      </c>
      <c r="G56" s="564">
        <v>22244.38</v>
      </c>
      <c r="H56" s="563">
        <v>0.02</v>
      </c>
      <c r="I56" s="473">
        <v>22898.63</v>
      </c>
      <c r="J56" s="563">
        <v>0.02</v>
      </c>
      <c r="K56" s="473">
        <v>23552.880000000001</v>
      </c>
      <c r="L56" s="563">
        <v>0.02</v>
      </c>
      <c r="M56" s="473">
        <v>24207.119999999999</v>
      </c>
      <c r="N56" s="563">
        <v>0.02</v>
      </c>
      <c r="O56" s="473">
        <v>24861.37</v>
      </c>
      <c r="P56" s="563">
        <v>0.02</v>
      </c>
      <c r="Q56" s="473">
        <v>26824.11</v>
      </c>
      <c r="R56" s="563">
        <v>0.03</v>
      </c>
      <c r="S56" s="473">
        <v>27478.36</v>
      </c>
      <c r="T56" s="563">
        <v>0.03</v>
      </c>
      <c r="U56" s="473">
        <v>28132.6</v>
      </c>
      <c r="V56" s="563">
        <v>0.03</v>
      </c>
      <c r="W56" s="473">
        <v>28786.85</v>
      </c>
      <c r="X56" s="586">
        <v>0.03</v>
      </c>
      <c r="Y56" s="473">
        <v>29441.1</v>
      </c>
      <c r="Z56" s="586">
        <v>0.03</v>
      </c>
      <c r="AA56" s="473">
        <v>31403.84</v>
      </c>
      <c r="AB56" s="586">
        <v>0.03</v>
      </c>
      <c r="AC56" s="473">
        <v>32058.080000000002</v>
      </c>
      <c r="AD56" s="586">
        <v>0.03</v>
      </c>
      <c r="AE56" s="612">
        <v>32712.33</v>
      </c>
      <c r="AF56" s="586">
        <v>0.03</v>
      </c>
      <c r="AG56" s="664">
        <v>33366.58</v>
      </c>
      <c r="AH56" s="678">
        <v>0.03</v>
      </c>
      <c r="AI56" s="473">
        <v>34020.82</v>
      </c>
      <c r="AJ56" s="678">
        <v>0.03</v>
      </c>
      <c r="AK56" s="473">
        <v>35983.56</v>
      </c>
      <c r="AL56" s="678">
        <v>0.03</v>
      </c>
      <c r="AM56" s="473">
        <v>36637.81</v>
      </c>
      <c r="AN56" s="678">
        <v>0.04</v>
      </c>
      <c r="AO56" s="473">
        <v>37292.050000000003</v>
      </c>
      <c r="AP56" s="678">
        <v>0.04</v>
      </c>
      <c r="AQ56" s="473">
        <v>37946.300000000003</v>
      </c>
      <c r="AR56" s="678">
        <v>0.04</v>
      </c>
      <c r="AS56" s="473">
        <v>38600.550000000003</v>
      </c>
      <c r="AT56" s="678">
        <v>0.04</v>
      </c>
      <c r="AU56" s="511">
        <v>40563.29</v>
      </c>
      <c r="AV56" s="678">
        <v>0.04</v>
      </c>
    </row>
    <row r="57" spans="1:48" ht="15">
      <c r="A57" s="1040" t="s">
        <v>95</v>
      </c>
      <c r="B57" s="1041" t="s">
        <v>95</v>
      </c>
      <c r="C57" s="473">
        <v>13323.46</v>
      </c>
      <c r="D57" s="532">
        <v>0.01</v>
      </c>
      <c r="E57" s="473">
        <v>14107.19</v>
      </c>
      <c r="F57" s="532">
        <v>0.01</v>
      </c>
      <c r="G57" s="564">
        <v>17242.12</v>
      </c>
      <c r="H57" s="563">
        <v>0.02</v>
      </c>
      <c r="I57" s="473">
        <v>18025.86</v>
      </c>
      <c r="J57" s="563">
        <v>0.02</v>
      </c>
      <c r="K57" s="473">
        <v>18809.59</v>
      </c>
      <c r="L57" s="563">
        <v>0.02</v>
      </c>
      <c r="M57" s="473">
        <v>19593.32</v>
      </c>
      <c r="N57" s="563">
        <v>0.02</v>
      </c>
      <c r="O57" s="473">
        <v>20377.05</v>
      </c>
      <c r="P57" s="563">
        <v>0.02</v>
      </c>
      <c r="Q57" s="549">
        <v>0</v>
      </c>
      <c r="R57" s="563">
        <v>0</v>
      </c>
      <c r="S57" s="549">
        <v>0</v>
      </c>
      <c r="T57" s="563">
        <v>0</v>
      </c>
      <c r="U57" s="473">
        <v>0</v>
      </c>
      <c r="V57" s="563">
        <v>0</v>
      </c>
      <c r="W57" s="473">
        <v>1669.69</v>
      </c>
      <c r="X57" s="586">
        <v>0</v>
      </c>
      <c r="Y57" s="473">
        <v>3339.38</v>
      </c>
      <c r="Z57" s="586">
        <v>0</v>
      </c>
      <c r="AA57" s="473">
        <v>8348.4599999999991</v>
      </c>
      <c r="AB57" s="586">
        <v>0.01</v>
      </c>
      <c r="AC57" s="473">
        <v>10018.15</v>
      </c>
      <c r="AD57" s="586">
        <v>0.01</v>
      </c>
      <c r="AE57" s="612">
        <v>11687.84</v>
      </c>
      <c r="AF57" s="586">
        <v>0.01</v>
      </c>
      <c r="AG57" s="664">
        <v>13357.53</v>
      </c>
      <c r="AH57" s="678">
        <v>0.01</v>
      </c>
      <c r="AI57" s="473">
        <v>15027.23</v>
      </c>
      <c r="AJ57" s="678">
        <v>0.01</v>
      </c>
      <c r="AK57" s="536">
        <v>20036.3</v>
      </c>
      <c r="AL57" s="678">
        <v>0.02</v>
      </c>
      <c r="AM57" s="536">
        <v>21705.99</v>
      </c>
      <c r="AN57" s="678">
        <v>0.02</v>
      </c>
      <c r="AO57" s="536">
        <v>23375.68</v>
      </c>
      <c r="AP57" s="678">
        <v>0.02</v>
      </c>
      <c r="AQ57" s="536">
        <v>25045.38</v>
      </c>
      <c r="AR57" s="678">
        <v>0.02</v>
      </c>
      <c r="AS57" s="536">
        <v>26715.07</v>
      </c>
      <c r="AT57" s="678">
        <v>0.03</v>
      </c>
      <c r="AU57" s="511">
        <v>31724.14</v>
      </c>
      <c r="AV57" s="678">
        <v>0.03</v>
      </c>
    </row>
    <row r="58" spans="1:48" ht="15">
      <c r="A58" s="1040" t="s">
        <v>126</v>
      </c>
      <c r="B58" s="1041" t="s">
        <v>126</v>
      </c>
      <c r="C58" s="473">
        <v>22429.75</v>
      </c>
      <c r="D58" s="532">
        <v>0.02</v>
      </c>
      <c r="E58" s="473">
        <v>23749.15</v>
      </c>
      <c r="F58" s="532">
        <v>0.02</v>
      </c>
      <c r="G58" s="564">
        <v>29026.74</v>
      </c>
      <c r="H58" s="563">
        <v>0.03</v>
      </c>
      <c r="I58" s="473">
        <v>30346.14</v>
      </c>
      <c r="J58" s="563">
        <v>0.03</v>
      </c>
      <c r="K58" s="473">
        <v>31665.53</v>
      </c>
      <c r="L58" s="563">
        <v>0.03</v>
      </c>
      <c r="M58" s="473">
        <v>32984.93</v>
      </c>
      <c r="N58" s="563">
        <v>0.03</v>
      </c>
      <c r="O58" s="473">
        <v>34304.33</v>
      </c>
      <c r="P58" s="563">
        <v>0.03</v>
      </c>
      <c r="Q58" s="549">
        <v>0</v>
      </c>
      <c r="R58" s="563">
        <v>0</v>
      </c>
      <c r="S58" s="549">
        <v>0</v>
      </c>
      <c r="T58" s="563">
        <v>0</v>
      </c>
      <c r="U58" s="473">
        <v>0</v>
      </c>
      <c r="V58" s="563">
        <v>0</v>
      </c>
      <c r="W58" s="473">
        <v>1484.32</v>
      </c>
      <c r="X58" s="586">
        <v>0</v>
      </c>
      <c r="Y58" s="473">
        <v>2968.64</v>
      </c>
      <c r="Z58" s="586">
        <v>0</v>
      </c>
      <c r="AA58" s="473">
        <v>7421.61</v>
      </c>
      <c r="AB58" s="586">
        <v>0.01</v>
      </c>
      <c r="AC58" s="473">
        <v>8905.93</v>
      </c>
      <c r="AD58" s="586">
        <v>0.01</v>
      </c>
      <c r="AE58" s="612">
        <v>10390.25</v>
      </c>
      <c r="AF58" s="586">
        <v>0.01</v>
      </c>
      <c r="AG58" s="664">
        <v>11874.58</v>
      </c>
      <c r="AH58" s="678">
        <v>0.01</v>
      </c>
      <c r="AI58" s="473">
        <v>13358.9</v>
      </c>
      <c r="AJ58" s="678">
        <v>0.01</v>
      </c>
      <c r="AK58" s="536">
        <v>17811.86</v>
      </c>
      <c r="AL58" s="678">
        <v>0.02</v>
      </c>
      <c r="AM58" s="536">
        <v>19296.18</v>
      </c>
      <c r="AN58" s="678">
        <v>0.02</v>
      </c>
      <c r="AO58" s="536">
        <v>20780.509999999998</v>
      </c>
      <c r="AP58" s="678">
        <v>0.02</v>
      </c>
      <c r="AQ58" s="536">
        <v>22264.83</v>
      </c>
      <c r="AR58" s="678">
        <v>0.02</v>
      </c>
      <c r="AS58" s="536">
        <v>23749.15</v>
      </c>
      <c r="AT58" s="678">
        <v>0.02</v>
      </c>
      <c r="AU58" s="511">
        <v>28202.12</v>
      </c>
      <c r="AV58" s="678">
        <v>0.03</v>
      </c>
    </row>
    <row r="59" spans="1:48" thickBot="1">
      <c r="A59" s="1040" t="s">
        <v>126</v>
      </c>
      <c r="B59" s="1041" t="s">
        <v>126</v>
      </c>
      <c r="C59" s="473">
        <v>9971.81</v>
      </c>
      <c r="D59" s="532">
        <v>0.01</v>
      </c>
      <c r="E59" s="473">
        <v>321.67</v>
      </c>
      <c r="F59" s="532">
        <v>0</v>
      </c>
      <c r="G59" s="564">
        <v>1608.36</v>
      </c>
      <c r="H59" s="563">
        <v>0</v>
      </c>
      <c r="I59" s="473">
        <v>1930.03</v>
      </c>
      <c r="J59" s="563">
        <v>0</v>
      </c>
      <c r="K59" s="473">
        <v>2251.6999999999998</v>
      </c>
      <c r="L59" s="563">
        <v>0</v>
      </c>
      <c r="M59" s="473">
        <v>2573.37</v>
      </c>
      <c r="N59" s="563">
        <v>0</v>
      </c>
      <c r="O59" s="473">
        <v>2895.04</v>
      </c>
      <c r="P59" s="563">
        <v>0</v>
      </c>
      <c r="Q59" s="473">
        <v>3860.05</v>
      </c>
      <c r="R59" s="563">
        <v>0</v>
      </c>
      <c r="S59" s="473">
        <v>4181.7299999999996</v>
      </c>
      <c r="T59" s="563">
        <v>0</v>
      </c>
      <c r="U59" s="473">
        <v>4503.3999999999996</v>
      </c>
      <c r="V59" s="563">
        <v>0</v>
      </c>
      <c r="W59" s="473">
        <v>4825.07</v>
      </c>
      <c r="X59" s="586">
        <v>0</v>
      </c>
      <c r="Y59" s="473">
        <v>5146.74</v>
      </c>
      <c r="Z59" s="586">
        <v>0</v>
      </c>
      <c r="AA59" s="473">
        <v>6111.75</v>
      </c>
      <c r="AB59" s="586">
        <v>0.01</v>
      </c>
      <c r="AC59" s="473">
        <v>6433.42</v>
      </c>
      <c r="AD59" s="586">
        <v>0.01</v>
      </c>
      <c r="AE59" s="612">
        <v>6755.1</v>
      </c>
      <c r="AF59" s="586">
        <v>0.01</v>
      </c>
      <c r="AG59" s="664">
        <v>7076.77</v>
      </c>
      <c r="AH59" s="678">
        <v>0.01</v>
      </c>
      <c r="AI59" s="473">
        <v>7398.44</v>
      </c>
      <c r="AJ59" s="678">
        <v>0.01</v>
      </c>
      <c r="AK59" s="536">
        <v>8363.4500000000007</v>
      </c>
      <c r="AL59" s="678">
        <v>0.01</v>
      </c>
      <c r="AM59" s="536">
        <v>8685.1200000000008</v>
      </c>
      <c r="AN59" s="678">
        <v>0.01</v>
      </c>
      <c r="AO59" s="536">
        <v>9006.7900000000009</v>
      </c>
      <c r="AP59" s="678">
        <v>0.01</v>
      </c>
      <c r="AQ59" s="536">
        <v>321.67</v>
      </c>
      <c r="AR59" s="678">
        <v>0</v>
      </c>
      <c r="AS59" s="536">
        <v>643.34</v>
      </c>
      <c r="AT59" s="678">
        <v>0</v>
      </c>
      <c r="AU59" s="511">
        <v>1608.36</v>
      </c>
      <c r="AV59" s="678">
        <v>0</v>
      </c>
    </row>
    <row r="60" spans="1:48" thickBot="1">
      <c r="A60" s="1032" t="s">
        <v>104</v>
      </c>
      <c r="B60" s="1044" t="s">
        <v>104</v>
      </c>
      <c r="C60" s="473">
        <v>18427.95</v>
      </c>
      <c r="D60" s="532">
        <v>0.02</v>
      </c>
      <c r="E60" s="473">
        <v>19136.71</v>
      </c>
      <c r="F60" s="532">
        <v>0.02</v>
      </c>
      <c r="G60" s="564">
        <v>2126.3000000000002</v>
      </c>
      <c r="H60" s="563">
        <v>0</v>
      </c>
      <c r="I60" s="473">
        <v>2835.07</v>
      </c>
      <c r="J60" s="563">
        <v>0</v>
      </c>
      <c r="K60" s="473">
        <v>3543.84</v>
      </c>
      <c r="L60" s="563">
        <v>0</v>
      </c>
      <c r="M60" s="473">
        <v>4252.6000000000004</v>
      </c>
      <c r="N60" s="563">
        <v>0</v>
      </c>
      <c r="O60" s="473">
        <v>0</v>
      </c>
      <c r="P60" s="563">
        <v>0</v>
      </c>
      <c r="Q60" s="561"/>
      <c r="R60" s="436"/>
      <c r="S60" s="436"/>
      <c r="T60" s="436"/>
      <c r="U60" s="436"/>
      <c r="V60" s="436"/>
      <c r="W60" s="436"/>
      <c r="X60" s="436"/>
      <c r="Y60" s="436"/>
      <c r="Z60" s="436"/>
      <c r="AA60" s="436"/>
      <c r="AB60" s="436"/>
      <c r="AC60" s="436"/>
      <c r="AD60" s="436"/>
      <c r="AE60" s="622"/>
      <c r="AF60" s="436"/>
      <c r="AG60" s="669"/>
      <c r="AH60" s="669"/>
      <c r="AI60" s="669"/>
      <c r="AJ60" s="669"/>
      <c r="AK60" s="669"/>
      <c r="AL60" s="669"/>
      <c r="AM60" s="669"/>
      <c r="AN60" s="669"/>
      <c r="AO60" s="669"/>
      <c r="AP60" s="669"/>
      <c r="AQ60" s="669"/>
      <c r="AR60" s="669"/>
      <c r="AS60" s="669"/>
      <c r="AT60" s="669"/>
      <c r="AU60" s="669"/>
      <c r="AV60" s="669"/>
    </row>
    <row r="61" spans="1:48" thickBot="1">
      <c r="A61" s="1042" t="s">
        <v>58</v>
      </c>
      <c r="B61" s="1043" t="s">
        <v>58</v>
      </c>
      <c r="C61" s="473">
        <v>3462.6</v>
      </c>
      <c r="D61" s="533">
        <v>0</v>
      </c>
      <c r="E61" s="473">
        <v>3610.21</v>
      </c>
      <c r="F61" s="557">
        <v>0</v>
      </c>
      <c r="G61" s="564">
        <v>442.84</v>
      </c>
      <c r="H61" s="568">
        <v>0</v>
      </c>
      <c r="I61" s="473">
        <v>590.46</v>
      </c>
      <c r="J61" s="568">
        <v>0</v>
      </c>
      <c r="K61" s="473">
        <v>705.36</v>
      </c>
      <c r="L61" s="568">
        <v>0</v>
      </c>
      <c r="M61" s="473">
        <v>820.26</v>
      </c>
      <c r="N61" s="568">
        <v>0</v>
      </c>
      <c r="O61" s="473">
        <v>1112.05</v>
      </c>
      <c r="P61" s="568">
        <v>0</v>
      </c>
      <c r="Q61" s="473">
        <v>1987.44</v>
      </c>
      <c r="R61" s="568">
        <v>0</v>
      </c>
      <c r="S61" s="473">
        <v>2279.23</v>
      </c>
      <c r="T61" s="568">
        <v>0</v>
      </c>
      <c r="U61" s="473">
        <v>2331.41</v>
      </c>
      <c r="V61" s="568">
        <v>0</v>
      </c>
      <c r="W61" s="473">
        <v>2383.58</v>
      </c>
      <c r="X61" s="586">
        <v>0</v>
      </c>
      <c r="Y61" s="473">
        <v>2435.7600000000002</v>
      </c>
      <c r="Z61" s="436">
        <v>0</v>
      </c>
      <c r="AA61" s="473">
        <v>2592.29</v>
      </c>
      <c r="AB61" s="436">
        <v>0</v>
      </c>
      <c r="AC61" s="590">
        <v>2644.46</v>
      </c>
      <c r="AD61" s="591">
        <v>0</v>
      </c>
      <c r="AE61" s="612">
        <v>2696.64</v>
      </c>
      <c r="AF61" s="436">
        <v>0</v>
      </c>
      <c r="AG61" s="664">
        <v>2748.82</v>
      </c>
      <c r="AH61" s="669">
        <v>0</v>
      </c>
      <c r="AI61" s="473">
        <v>2800.99</v>
      </c>
      <c r="AJ61" s="669">
        <v>0</v>
      </c>
      <c r="AK61" s="536">
        <v>2957.52</v>
      </c>
      <c r="AL61" s="669">
        <v>0</v>
      </c>
      <c r="AM61" s="536">
        <v>3009.7</v>
      </c>
      <c r="AN61" s="669">
        <v>0</v>
      </c>
      <c r="AO61" s="536">
        <v>3056.15</v>
      </c>
      <c r="AP61" s="669">
        <v>0</v>
      </c>
      <c r="AQ61" s="536">
        <v>3111.6</v>
      </c>
      <c r="AR61" s="669">
        <v>0</v>
      </c>
      <c r="AS61" s="536">
        <v>3167.04</v>
      </c>
      <c r="AT61" s="669">
        <v>0</v>
      </c>
      <c r="AU61" s="511">
        <v>3333.39</v>
      </c>
      <c r="AV61" s="669">
        <v>0</v>
      </c>
    </row>
    <row r="62" spans="1:48" s="459" customFormat="1">
      <c r="A62" s="458" t="s">
        <v>120</v>
      </c>
      <c r="B62" s="424" t="s">
        <v>105</v>
      </c>
      <c r="C62" s="536">
        <v>210</v>
      </c>
      <c r="D62" s="528"/>
      <c r="E62" s="536">
        <v>210</v>
      </c>
      <c r="F62" s="559"/>
      <c r="G62" s="565">
        <v>210</v>
      </c>
      <c r="H62" s="555"/>
      <c r="I62" s="565">
        <v>210</v>
      </c>
      <c r="J62" s="555"/>
      <c r="K62" s="565">
        <v>210</v>
      </c>
      <c r="L62" s="555"/>
      <c r="M62" s="565">
        <v>210</v>
      </c>
      <c r="N62" s="555"/>
      <c r="O62" s="565">
        <v>210</v>
      </c>
      <c r="P62" s="555"/>
      <c r="Q62" s="565">
        <v>210</v>
      </c>
      <c r="R62" s="555"/>
      <c r="S62" s="565">
        <v>210</v>
      </c>
      <c r="T62" s="555"/>
      <c r="U62" s="565">
        <v>210</v>
      </c>
      <c r="V62" s="555"/>
      <c r="W62" s="565">
        <v>210</v>
      </c>
      <c r="X62" s="555"/>
      <c r="Y62" s="565">
        <v>210</v>
      </c>
      <c r="Z62" s="555"/>
      <c r="AA62" s="565">
        <v>210</v>
      </c>
      <c r="AB62" s="555"/>
      <c r="AC62" s="565">
        <v>210</v>
      </c>
      <c r="AD62" s="555"/>
      <c r="AE62" s="623">
        <v>210</v>
      </c>
      <c r="AF62" s="555"/>
      <c r="AG62" s="679">
        <v>210</v>
      </c>
      <c r="AH62" s="680"/>
      <c r="AI62" s="679">
        <v>210</v>
      </c>
      <c r="AJ62" s="680"/>
      <c r="AK62" s="679">
        <v>210</v>
      </c>
      <c r="AL62" s="680"/>
      <c r="AM62" s="679">
        <v>210</v>
      </c>
      <c r="AN62" s="680"/>
      <c r="AO62" s="679">
        <v>210</v>
      </c>
      <c r="AP62" s="680"/>
      <c r="AQ62" s="679">
        <v>210</v>
      </c>
      <c r="AR62" s="680"/>
      <c r="AS62" s="679">
        <v>210</v>
      </c>
      <c r="AT62" s="680"/>
      <c r="AU62" s="698"/>
      <c r="AV62" s="699"/>
    </row>
    <row r="63" spans="1:48" s="459" customFormat="1">
      <c r="A63" s="543" t="s">
        <v>128</v>
      </c>
      <c r="B63" s="544"/>
      <c r="C63" s="549">
        <v>37500</v>
      </c>
      <c r="D63" s="548">
        <v>0.04</v>
      </c>
      <c r="E63" s="549">
        <v>37500</v>
      </c>
      <c r="F63" s="548">
        <v>0.04</v>
      </c>
      <c r="G63" s="569">
        <v>37500</v>
      </c>
      <c r="H63" s="566">
        <v>0.04</v>
      </c>
      <c r="I63" s="569">
        <v>37500</v>
      </c>
      <c r="J63" s="566">
        <v>0.04</v>
      </c>
      <c r="K63" s="569">
        <v>37500</v>
      </c>
      <c r="L63" s="566">
        <v>0.04</v>
      </c>
      <c r="M63" s="569">
        <v>37500</v>
      </c>
      <c r="N63" s="566">
        <v>0.04</v>
      </c>
      <c r="O63" s="569">
        <v>37500</v>
      </c>
      <c r="P63" s="566">
        <v>0.04</v>
      </c>
      <c r="Q63" s="569">
        <v>37500</v>
      </c>
      <c r="R63" s="566">
        <v>0.04</v>
      </c>
      <c r="S63" s="569">
        <v>37500</v>
      </c>
      <c r="T63" s="566">
        <v>0.04</v>
      </c>
      <c r="U63" s="569">
        <v>37500</v>
      </c>
      <c r="V63" s="566">
        <v>0.04</v>
      </c>
      <c r="W63" s="569">
        <v>37500</v>
      </c>
      <c r="X63" s="566">
        <v>0.04</v>
      </c>
      <c r="Y63" s="569">
        <v>37500</v>
      </c>
      <c r="Z63" s="566">
        <v>0.04</v>
      </c>
      <c r="AA63" s="569">
        <v>37500</v>
      </c>
      <c r="AB63" s="566">
        <v>0.03</v>
      </c>
      <c r="AC63" s="569">
        <v>37500</v>
      </c>
      <c r="AD63" s="566">
        <v>0.03</v>
      </c>
      <c r="AE63" s="624">
        <v>37500</v>
      </c>
      <c r="AF63" s="566">
        <v>0.04</v>
      </c>
      <c r="AG63" s="681">
        <v>37500</v>
      </c>
      <c r="AH63" s="682">
        <v>0.03</v>
      </c>
      <c r="AI63" s="681">
        <v>37500</v>
      </c>
      <c r="AJ63" s="682">
        <v>0.04</v>
      </c>
      <c r="AK63" s="681">
        <v>37500</v>
      </c>
      <c r="AL63" s="682">
        <v>0.04</v>
      </c>
      <c r="AM63" s="681">
        <v>37500</v>
      </c>
      <c r="AN63" s="682">
        <v>0.04</v>
      </c>
      <c r="AO63" s="681">
        <v>37500</v>
      </c>
      <c r="AP63" s="682">
        <v>0.04</v>
      </c>
      <c r="AQ63" s="681">
        <v>37500</v>
      </c>
      <c r="AR63" s="682">
        <v>0.04</v>
      </c>
      <c r="AS63" s="681">
        <v>37500</v>
      </c>
      <c r="AT63" s="682">
        <v>0.04</v>
      </c>
      <c r="AU63" s="681">
        <v>37500</v>
      </c>
      <c r="AV63" s="682">
        <v>0.04</v>
      </c>
    </row>
    <row r="64" spans="1:48" s="459" customFormat="1" thickBot="1">
      <c r="A64" s="1032" t="s">
        <v>39</v>
      </c>
      <c r="B64" s="1044" t="s">
        <v>39</v>
      </c>
      <c r="C64" s="533"/>
      <c r="D64" s="534"/>
      <c r="E64" s="533"/>
      <c r="F64" s="534"/>
      <c r="G64" s="567"/>
      <c r="H64" s="567"/>
      <c r="I64" s="567"/>
      <c r="J64" s="567"/>
      <c r="K64" s="567"/>
      <c r="L64" s="567"/>
      <c r="M64" s="567"/>
      <c r="N64" s="567"/>
      <c r="O64" s="567"/>
      <c r="P64" s="567"/>
      <c r="Q64" s="567"/>
      <c r="R64" s="567"/>
      <c r="S64" s="567"/>
      <c r="T64" s="567"/>
      <c r="U64" s="567"/>
      <c r="V64" s="567"/>
      <c r="W64" s="567"/>
      <c r="X64" s="567"/>
      <c r="Y64" s="567"/>
      <c r="Z64" s="567"/>
      <c r="AA64" s="567"/>
      <c r="AB64" s="567"/>
      <c r="AC64" s="567"/>
      <c r="AD64" s="567"/>
      <c r="AE64" s="625"/>
      <c r="AF64" s="567"/>
      <c r="AG64" s="683"/>
      <c r="AH64" s="683"/>
      <c r="AI64" s="683"/>
      <c r="AJ64" s="683"/>
      <c r="AK64" s="683"/>
      <c r="AL64" s="683"/>
      <c r="AM64" s="683"/>
      <c r="AN64" s="683"/>
      <c r="AO64" s="683"/>
      <c r="AP64" s="683"/>
      <c r="AQ64" s="683"/>
      <c r="AR64" s="683"/>
      <c r="AS64" s="683"/>
      <c r="AT64" s="683"/>
      <c r="AU64" s="683"/>
      <c r="AV64" s="683"/>
    </row>
    <row r="65" spans="1:48" ht="16.5" thickBot="1">
      <c r="A65" s="1018"/>
      <c r="B65" s="1019"/>
      <c r="C65" s="412">
        <f t="shared" ref="C65:H65" si="8">SUM(C36:C64)</f>
        <v>5207976.88</v>
      </c>
      <c r="D65" s="412">
        <f t="shared" si="8"/>
        <v>5.0299999999999976</v>
      </c>
      <c r="E65" s="412">
        <f t="shared" si="8"/>
        <v>5199863.28</v>
      </c>
      <c r="F65" s="412">
        <f t="shared" si="8"/>
        <v>5.0399999999999991</v>
      </c>
      <c r="G65" s="560">
        <f t="shared" si="8"/>
        <v>5260342.95</v>
      </c>
      <c r="H65" s="560">
        <f t="shared" si="8"/>
        <v>5.0699999999999985</v>
      </c>
      <c r="I65" s="560">
        <f t="shared" ref="I65:AV65" si="9">SUM(I36:I64)</f>
        <v>5162701.1900000004</v>
      </c>
      <c r="J65" s="560">
        <f t="shared" si="9"/>
        <v>4.9699999999999989</v>
      </c>
      <c r="K65" s="560">
        <f t="shared" si="9"/>
        <v>5165977.2700000005</v>
      </c>
      <c r="L65" s="560">
        <f t="shared" si="9"/>
        <v>5.009999999999998</v>
      </c>
      <c r="M65" s="560">
        <f t="shared" si="9"/>
        <v>5136992.66</v>
      </c>
      <c r="N65" s="560">
        <f t="shared" si="9"/>
        <v>4.9799999999999978</v>
      </c>
      <c r="O65" s="560">
        <f t="shared" si="9"/>
        <v>5002291.4299999988</v>
      </c>
      <c r="P65" s="560">
        <f t="shared" si="9"/>
        <v>4.8399999999999981</v>
      </c>
      <c r="Q65" s="560">
        <f t="shared" si="9"/>
        <v>4945181.62</v>
      </c>
      <c r="R65" s="560">
        <f t="shared" si="9"/>
        <v>4.7799999999999994</v>
      </c>
      <c r="S65" s="560">
        <f t="shared" si="9"/>
        <v>4949856.8500000015</v>
      </c>
      <c r="T65" s="560">
        <f t="shared" si="9"/>
        <v>4.8</v>
      </c>
      <c r="U65" s="560">
        <f t="shared" si="9"/>
        <v>4948807.7300000014</v>
      </c>
      <c r="V65" s="560">
        <f t="shared" si="9"/>
        <v>4.79</v>
      </c>
      <c r="W65" s="560">
        <f t="shared" si="9"/>
        <v>4941249.4700000016</v>
      </c>
      <c r="X65" s="560">
        <f t="shared" si="9"/>
        <v>4.78</v>
      </c>
      <c r="Y65" s="560">
        <f t="shared" si="9"/>
        <v>4943354.3899999997</v>
      </c>
      <c r="Z65" s="560">
        <f t="shared" si="9"/>
        <v>4.7700000000000005</v>
      </c>
      <c r="AA65" s="560">
        <f t="shared" si="9"/>
        <v>4947346</v>
      </c>
      <c r="AB65" s="560">
        <f t="shared" si="9"/>
        <v>4.7799999999999994</v>
      </c>
      <c r="AC65" s="560">
        <f t="shared" si="9"/>
        <v>4954512.9300000006</v>
      </c>
      <c r="AD65" s="560">
        <f t="shared" si="9"/>
        <v>4.7799999999999994</v>
      </c>
      <c r="AE65" s="626">
        <f t="shared" si="9"/>
        <v>5077282.88</v>
      </c>
      <c r="AF65" s="560">
        <f t="shared" si="9"/>
        <v>4.919999999999999</v>
      </c>
      <c r="AG65" s="684">
        <f t="shared" si="9"/>
        <v>5079387.8000000007</v>
      </c>
      <c r="AH65" s="684">
        <f t="shared" si="9"/>
        <v>4.9099999999999993</v>
      </c>
      <c r="AI65" s="684">
        <f t="shared" si="9"/>
        <v>5182443.1300000018</v>
      </c>
      <c r="AJ65" s="684">
        <f t="shared" si="9"/>
        <v>4.9999999999999991</v>
      </c>
      <c r="AK65" s="684">
        <f t="shared" si="9"/>
        <v>5188757.8499999996</v>
      </c>
      <c r="AL65" s="684">
        <f t="shared" si="9"/>
        <v>4.9999999999999973</v>
      </c>
      <c r="AM65" s="684">
        <f t="shared" si="9"/>
        <v>5190862.78</v>
      </c>
      <c r="AN65" s="684">
        <f t="shared" si="9"/>
        <v>4.9999999999999973</v>
      </c>
      <c r="AO65" s="684">
        <f t="shared" si="9"/>
        <v>5092507.25</v>
      </c>
      <c r="AP65" s="684">
        <f t="shared" si="9"/>
        <v>4.9099999999999984</v>
      </c>
      <c r="AQ65" s="684">
        <f t="shared" si="9"/>
        <v>5085498</v>
      </c>
      <c r="AR65" s="684">
        <f t="shared" si="9"/>
        <v>4.8899999999999988</v>
      </c>
      <c r="AS65" s="684">
        <f t="shared" si="9"/>
        <v>5087495.5200000005</v>
      </c>
      <c r="AT65" s="684">
        <f t="shared" si="9"/>
        <v>4.8899999999999997</v>
      </c>
      <c r="AU65" s="684">
        <f t="shared" si="9"/>
        <v>5249660.2299999995</v>
      </c>
      <c r="AV65" s="684">
        <f t="shared" si="9"/>
        <v>5.0400000000000009</v>
      </c>
    </row>
    <row r="66" spans="1:48">
      <c r="B66" s="142" t="s">
        <v>59</v>
      </c>
      <c r="C66" s="413">
        <f>C9+C15+C18</f>
        <v>59300349.079999998</v>
      </c>
      <c r="D66" s="440">
        <f>D9+D15</f>
        <v>55.65</v>
      </c>
      <c r="E66" s="413">
        <f>E9+E15+E18</f>
        <v>65739572.689999998</v>
      </c>
      <c r="F66" s="440">
        <f>F9+F15</f>
        <v>62.019999999999996</v>
      </c>
      <c r="G66" s="413">
        <f>G9+G15+G18</f>
        <v>66177108.909999996</v>
      </c>
      <c r="H66" s="440">
        <f>H9+H15</f>
        <v>62.08</v>
      </c>
      <c r="I66" s="413">
        <f>I9+I15+I18</f>
        <v>66096888.819999993</v>
      </c>
      <c r="J66" s="440">
        <f>J9+J15</f>
        <v>62.06</v>
      </c>
      <c r="K66" s="413">
        <f>K9+K15+K18</f>
        <v>66045543.460000001</v>
      </c>
      <c r="L66" s="440">
        <f>L9+L15</f>
        <v>62.370000000000005</v>
      </c>
      <c r="M66" s="413">
        <f>M9+M15+M18</f>
        <v>66070626.82</v>
      </c>
      <c r="N66" s="440">
        <f>N9+N15</f>
        <v>62.379999999999995</v>
      </c>
      <c r="O66" s="413">
        <f>O9+O15+O18</f>
        <v>66163299.960000008</v>
      </c>
      <c r="P66" s="440">
        <f>P9+P15</f>
        <v>62.400000000000006</v>
      </c>
      <c r="Q66" s="413">
        <f>Q9+Q15+Q18</f>
        <v>66229108.780000001</v>
      </c>
      <c r="R66" s="440">
        <f>R9+R15</f>
        <v>62.42</v>
      </c>
      <c r="S66" s="413">
        <f>S9+S15+S18</f>
        <v>66037312.090000004</v>
      </c>
      <c r="T66" s="440">
        <f>T9+T15</f>
        <v>62.35</v>
      </c>
      <c r="U66" s="413">
        <f>U9+U15+U18</f>
        <v>66168514.219999999</v>
      </c>
      <c r="V66" s="440">
        <f>V9+V15</f>
        <v>62.410000000000004</v>
      </c>
      <c r="W66" s="413">
        <f>W9+W15+W18</f>
        <v>66364617.980000004</v>
      </c>
      <c r="X66" s="440">
        <f>X9+X15</f>
        <v>62.47</v>
      </c>
      <c r="Y66" s="413">
        <f>Y9+Y15+Y18</f>
        <v>66391534.07</v>
      </c>
      <c r="Z66" s="440">
        <f>Z9+Z15</f>
        <v>62.480000000000004</v>
      </c>
      <c r="AA66" s="413">
        <f>AA9+AA15+AA18</f>
        <v>66376725.220000006</v>
      </c>
      <c r="AB66" s="440">
        <f>AB9+AB15</f>
        <v>62.47</v>
      </c>
      <c r="AC66" s="413">
        <f>AC9+AC15+AC18</f>
        <v>66468488.210000001</v>
      </c>
      <c r="AD66" s="440">
        <f>AD9+AD15</f>
        <v>62.5</v>
      </c>
      <c r="AE66" s="627">
        <f>AE9+AE15+AE18</f>
        <v>66171363.550000004</v>
      </c>
      <c r="AF66" s="440">
        <f>AF9+AF15</f>
        <v>62.32</v>
      </c>
      <c r="AG66" s="685">
        <f>AG9+AG15+AG18</f>
        <v>66089022.93</v>
      </c>
      <c r="AH66" s="686">
        <f>AH9+AH15</f>
        <v>62.289999999999992</v>
      </c>
      <c r="AI66" s="685">
        <f>AI9+AI15+AI18</f>
        <v>66327298.730000004</v>
      </c>
      <c r="AJ66" s="686">
        <f>AJ9+AJ15</f>
        <v>62.31</v>
      </c>
      <c r="AK66" s="685">
        <f>AK9+AK15+AK18</f>
        <v>66408899.259999998</v>
      </c>
      <c r="AL66" s="686">
        <f>AL9+AL15</f>
        <v>62.34</v>
      </c>
      <c r="AM66" s="685">
        <f>AM9+AM15+AM18</f>
        <v>66493065.280000001</v>
      </c>
      <c r="AN66" s="686">
        <f>AN9+AN15</f>
        <v>62.37</v>
      </c>
      <c r="AO66" s="685">
        <f>AO9+AO15+AO18</f>
        <v>66355858.299999997</v>
      </c>
      <c r="AP66" s="686">
        <f>AP9+AP15</f>
        <v>62.37</v>
      </c>
      <c r="AQ66" s="685">
        <f>AQ9+AQ15+AQ18</f>
        <v>66478935.620000005</v>
      </c>
      <c r="AR66" s="686">
        <f>AR9+AR15</f>
        <v>62.42</v>
      </c>
      <c r="AS66" s="685">
        <f>AS9+AS15+AS18</f>
        <v>66563328.619999997</v>
      </c>
      <c r="AT66" s="686">
        <f>AT9+AT15</f>
        <v>62.45</v>
      </c>
      <c r="AU66" s="685">
        <f>AU9+AU15+AU18</f>
        <v>66503729.219999999</v>
      </c>
      <c r="AV66" s="686">
        <f>AV9+AV15</f>
        <v>62.320000000000007</v>
      </c>
    </row>
    <row r="67" spans="1:48">
      <c r="A67" s="145"/>
      <c r="B67" s="145" t="s">
        <v>109</v>
      </c>
      <c r="C67" s="414">
        <f t="shared" ref="C67:H67" si="10">C33</f>
        <v>31971628.5</v>
      </c>
      <c r="D67" s="441">
        <f t="shared" si="10"/>
        <v>30.9</v>
      </c>
      <c r="E67" s="414">
        <f t="shared" si="10"/>
        <v>25308178.810000002</v>
      </c>
      <c r="F67" s="441">
        <f t="shared" si="10"/>
        <v>24.51</v>
      </c>
      <c r="G67" s="414">
        <f t="shared" si="10"/>
        <v>25404668.949999999</v>
      </c>
      <c r="H67" s="441">
        <f t="shared" si="10"/>
        <v>24.46</v>
      </c>
      <c r="I67" s="414">
        <f t="shared" ref="I67:AV67" si="11">I33</f>
        <v>25501968.949999999</v>
      </c>
      <c r="J67" s="441">
        <f t="shared" si="11"/>
        <v>24.57</v>
      </c>
      <c r="K67" s="414">
        <f t="shared" si="11"/>
        <v>24938797.41</v>
      </c>
      <c r="L67" s="441">
        <f t="shared" si="11"/>
        <v>24.18</v>
      </c>
      <c r="M67" s="414">
        <f t="shared" si="11"/>
        <v>24969762.240000002</v>
      </c>
      <c r="N67" s="441">
        <f t="shared" si="11"/>
        <v>24.2</v>
      </c>
      <c r="O67" s="414">
        <f t="shared" si="11"/>
        <v>25130604.140000001</v>
      </c>
      <c r="P67" s="441">
        <f t="shared" si="11"/>
        <v>24.330000000000002</v>
      </c>
      <c r="Q67" s="414">
        <f t="shared" si="11"/>
        <v>25189787.699999999</v>
      </c>
      <c r="R67" s="441">
        <f t="shared" si="11"/>
        <v>24.37</v>
      </c>
      <c r="S67" s="414">
        <f t="shared" si="11"/>
        <v>25188949.899999999</v>
      </c>
      <c r="T67" s="441">
        <f t="shared" si="11"/>
        <v>24.41</v>
      </c>
      <c r="U67" s="414">
        <f t="shared" si="11"/>
        <v>25173131.07</v>
      </c>
      <c r="V67" s="441">
        <f t="shared" si="11"/>
        <v>24.369999999999997</v>
      </c>
      <c r="W67" s="414">
        <f t="shared" si="11"/>
        <v>25183953.25</v>
      </c>
      <c r="X67" s="441">
        <f t="shared" si="11"/>
        <v>24.33</v>
      </c>
      <c r="Y67" s="414">
        <f t="shared" si="11"/>
        <v>25183953.25</v>
      </c>
      <c r="Z67" s="441">
        <f t="shared" si="11"/>
        <v>24.33</v>
      </c>
      <c r="AA67" s="414">
        <f t="shared" si="11"/>
        <v>25190408.84</v>
      </c>
      <c r="AB67" s="441">
        <f t="shared" si="11"/>
        <v>24.33</v>
      </c>
      <c r="AC67" s="414">
        <f t="shared" si="11"/>
        <v>25185346.84</v>
      </c>
      <c r="AD67" s="441">
        <f t="shared" si="11"/>
        <v>24.31</v>
      </c>
      <c r="AE67" s="628">
        <f t="shared" si="11"/>
        <v>25185346.84</v>
      </c>
      <c r="AF67" s="441">
        <f t="shared" si="11"/>
        <v>24.35</v>
      </c>
      <c r="AG67" s="687">
        <f t="shared" si="11"/>
        <v>25185346.84</v>
      </c>
      <c r="AH67" s="688">
        <f t="shared" si="11"/>
        <v>24.369999999999997</v>
      </c>
      <c r="AI67" s="687">
        <f t="shared" si="11"/>
        <v>25185346.84</v>
      </c>
      <c r="AJ67" s="688">
        <f t="shared" si="11"/>
        <v>24.28</v>
      </c>
      <c r="AK67" s="687">
        <f t="shared" si="11"/>
        <v>25185346.84</v>
      </c>
      <c r="AL67" s="688">
        <f t="shared" si="11"/>
        <v>24.27</v>
      </c>
      <c r="AM67" s="687">
        <f t="shared" si="11"/>
        <v>25185346.84</v>
      </c>
      <c r="AN67" s="688">
        <f t="shared" si="11"/>
        <v>24.25</v>
      </c>
      <c r="AO67" s="687">
        <f t="shared" si="11"/>
        <v>25203648.240000002</v>
      </c>
      <c r="AP67" s="688">
        <f t="shared" si="11"/>
        <v>24.31</v>
      </c>
      <c r="AQ67" s="687">
        <f t="shared" si="11"/>
        <v>25207090.52</v>
      </c>
      <c r="AR67" s="688">
        <f t="shared" si="11"/>
        <v>24.290000000000003</v>
      </c>
      <c r="AS67" s="687">
        <f t="shared" si="11"/>
        <v>25207090.52</v>
      </c>
      <c r="AT67" s="688">
        <f t="shared" si="11"/>
        <v>24.270000000000003</v>
      </c>
      <c r="AU67" s="687">
        <f t="shared" si="11"/>
        <v>25208858.050000001</v>
      </c>
      <c r="AV67" s="688">
        <f t="shared" si="11"/>
        <v>24.25</v>
      </c>
    </row>
    <row r="68" spans="1:48">
      <c r="B68" s="145" t="s">
        <v>110</v>
      </c>
      <c r="C68" s="414">
        <f t="shared" ref="C68:J68" si="12">C22</f>
        <v>7005983.7000000002</v>
      </c>
      <c r="D68" s="441">
        <f t="shared" si="12"/>
        <v>6.77</v>
      </c>
      <c r="E68" s="414">
        <f t="shared" si="12"/>
        <v>7005983.7000000002</v>
      </c>
      <c r="F68" s="441">
        <f t="shared" si="12"/>
        <v>6.7799999999999994</v>
      </c>
      <c r="G68" s="414">
        <f t="shared" si="12"/>
        <v>7005983.7000000002</v>
      </c>
      <c r="H68" s="441">
        <f t="shared" si="12"/>
        <v>6.75</v>
      </c>
      <c r="I68" s="414">
        <f t="shared" si="12"/>
        <v>7005983.7000000002</v>
      </c>
      <c r="J68" s="441">
        <f t="shared" si="12"/>
        <v>6.75</v>
      </c>
      <c r="K68" s="414">
        <f t="shared" ref="K68:AV68" si="13">K22</f>
        <v>7005983.7000000002</v>
      </c>
      <c r="L68" s="441">
        <f t="shared" si="13"/>
        <v>6.79</v>
      </c>
      <c r="M68" s="414">
        <f t="shared" si="13"/>
        <v>7005983.7000000002</v>
      </c>
      <c r="N68" s="441">
        <f t="shared" si="13"/>
        <v>6.79</v>
      </c>
      <c r="O68" s="414">
        <f t="shared" si="13"/>
        <v>7005983.7000000002</v>
      </c>
      <c r="P68" s="441">
        <f t="shared" si="13"/>
        <v>6.7799999999999994</v>
      </c>
      <c r="Q68" s="414">
        <f t="shared" si="13"/>
        <v>7005983.7000000002</v>
      </c>
      <c r="R68" s="441">
        <f t="shared" si="13"/>
        <v>6.7799999999999994</v>
      </c>
      <c r="S68" s="414">
        <f t="shared" si="13"/>
        <v>7005983.7000000002</v>
      </c>
      <c r="T68" s="441">
        <f t="shared" si="13"/>
        <v>6.7899999999999991</v>
      </c>
      <c r="U68" s="414">
        <f t="shared" si="13"/>
        <v>7005983.7000000002</v>
      </c>
      <c r="V68" s="441">
        <f t="shared" si="13"/>
        <v>6.7799999999999994</v>
      </c>
      <c r="W68" s="414">
        <f t="shared" si="13"/>
        <v>7005983.7000000002</v>
      </c>
      <c r="X68" s="441">
        <f t="shared" si="13"/>
        <v>6.77</v>
      </c>
      <c r="Y68" s="414">
        <f t="shared" si="13"/>
        <v>7005983.7000000002</v>
      </c>
      <c r="Z68" s="441">
        <f t="shared" si="13"/>
        <v>6.77</v>
      </c>
      <c r="AA68" s="414">
        <f t="shared" si="13"/>
        <v>7005983.7000000002</v>
      </c>
      <c r="AB68" s="441">
        <f t="shared" si="13"/>
        <v>6.77</v>
      </c>
      <c r="AC68" s="414">
        <f t="shared" si="13"/>
        <v>7005983.7000000002</v>
      </c>
      <c r="AD68" s="441">
        <f t="shared" si="13"/>
        <v>6.76</v>
      </c>
      <c r="AE68" s="628">
        <f t="shared" si="13"/>
        <v>7005983.7000000002</v>
      </c>
      <c r="AF68" s="441">
        <f t="shared" si="13"/>
        <v>6.76</v>
      </c>
      <c r="AG68" s="687">
        <f t="shared" si="13"/>
        <v>7005983.7000000002</v>
      </c>
      <c r="AH68" s="688">
        <f t="shared" si="13"/>
        <v>6.7799999999999994</v>
      </c>
      <c r="AI68" s="687">
        <f t="shared" si="13"/>
        <v>7005983.7000000002</v>
      </c>
      <c r="AJ68" s="688">
        <f t="shared" si="13"/>
        <v>6.76</v>
      </c>
      <c r="AK68" s="687">
        <f t="shared" si="13"/>
        <v>7005983.7000000002</v>
      </c>
      <c r="AL68" s="688">
        <f t="shared" si="13"/>
        <v>6.75</v>
      </c>
      <c r="AM68" s="687">
        <f t="shared" si="13"/>
        <v>7005983.7000000002</v>
      </c>
      <c r="AN68" s="688">
        <f t="shared" si="13"/>
        <v>6.74</v>
      </c>
      <c r="AO68" s="687">
        <f t="shared" si="13"/>
        <v>7005983.7000000002</v>
      </c>
      <c r="AP68" s="688">
        <f t="shared" si="13"/>
        <v>6.76</v>
      </c>
      <c r="AQ68" s="687">
        <f t="shared" si="13"/>
        <v>7005983.7000000002</v>
      </c>
      <c r="AR68" s="688">
        <f t="shared" si="13"/>
        <v>6.75</v>
      </c>
      <c r="AS68" s="687">
        <f t="shared" si="13"/>
        <v>7005983.7000000002</v>
      </c>
      <c r="AT68" s="688">
        <f t="shared" si="13"/>
        <v>6.74</v>
      </c>
      <c r="AU68" s="687">
        <f t="shared" si="13"/>
        <v>7005983.7000000002</v>
      </c>
      <c r="AV68" s="688">
        <f t="shared" si="13"/>
        <v>6.74</v>
      </c>
    </row>
    <row r="69" spans="1:48">
      <c r="B69" s="145" t="s">
        <v>122</v>
      </c>
      <c r="C69" s="414"/>
      <c r="D69" s="414">
        <f>D18</f>
        <v>1.65</v>
      </c>
      <c r="E69" s="414"/>
      <c r="F69" s="414">
        <f>F18</f>
        <v>1.65</v>
      </c>
      <c r="G69" s="414"/>
      <c r="H69" s="414">
        <f>H18</f>
        <v>1.64</v>
      </c>
      <c r="I69" s="414"/>
      <c r="J69" s="414">
        <f>J18</f>
        <v>1.65</v>
      </c>
      <c r="K69" s="414"/>
      <c r="L69" s="414">
        <f>L18</f>
        <v>1.65</v>
      </c>
      <c r="M69" s="414"/>
      <c r="N69" s="414">
        <f>N18</f>
        <v>1.65</v>
      </c>
      <c r="O69" s="414"/>
      <c r="P69" s="414">
        <f>P18</f>
        <v>1.65</v>
      </c>
      <c r="Q69" s="414"/>
      <c r="R69" s="414">
        <f>R18</f>
        <v>1.65</v>
      </c>
      <c r="S69" s="414"/>
      <c r="T69" s="414">
        <f>T18</f>
        <v>1.65</v>
      </c>
      <c r="U69" s="414"/>
      <c r="V69" s="414">
        <f>V18</f>
        <v>1.65</v>
      </c>
      <c r="W69" s="414"/>
      <c r="X69" s="414">
        <f>X18</f>
        <v>1.65</v>
      </c>
      <c r="Y69" s="414"/>
      <c r="Z69" s="414">
        <f>Z18</f>
        <v>1.65</v>
      </c>
      <c r="AA69" s="414"/>
      <c r="AB69" s="414">
        <f>AB18</f>
        <v>1.65</v>
      </c>
      <c r="AC69" s="414"/>
      <c r="AD69" s="414">
        <f>AD18</f>
        <v>1.65</v>
      </c>
      <c r="AE69" s="628"/>
      <c r="AF69" s="414">
        <f>AF18</f>
        <v>1.65</v>
      </c>
      <c r="AG69" s="687"/>
      <c r="AH69" s="687">
        <f>AH18</f>
        <v>1.65</v>
      </c>
      <c r="AI69" s="687"/>
      <c r="AJ69" s="687">
        <f>AJ18</f>
        <v>1.65</v>
      </c>
      <c r="AK69" s="687"/>
      <c r="AL69" s="687">
        <f>AL18</f>
        <v>1.64</v>
      </c>
      <c r="AM69" s="687"/>
      <c r="AN69" s="687">
        <f>AN18</f>
        <v>1.64</v>
      </c>
      <c r="AO69" s="687"/>
      <c r="AP69" s="687">
        <f>AP18</f>
        <v>1.65</v>
      </c>
      <c r="AQ69" s="687"/>
      <c r="AR69" s="687">
        <f>AR18</f>
        <v>1.65</v>
      </c>
      <c r="AS69" s="687"/>
      <c r="AT69" s="687">
        <f>AT18</f>
        <v>1.65</v>
      </c>
      <c r="AU69" s="687"/>
      <c r="AV69" s="687">
        <f>AV18</f>
        <v>1.65</v>
      </c>
    </row>
    <row r="70" spans="1:48" ht="16.5" thickBot="1">
      <c r="A70" s="1037"/>
      <c r="B70" s="1038"/>
      <c r="C70" s="415">
        <f t="shared" ref="C70:H70" si="14">C65</f>
        <v>5207976.88</v>
      </c>
      <c r="D70" s="442">
        <f t="shared" si="14"/>
        <v>5.0299999999999976</v>
      </c>
      <c r="E70" s="415">
        <f t="shared" si="14"/>
        <v>5199863.28</v>
      </c>
      <c r="F70" s="442">
        <f t="shared" si="14"/>
        <v>5.0399999999999991</v>
      </c>
      <c r="G70" s="415">
        <f t="shared" si="14"/>
        <v>5260342.95</v>
      </c>
      <c r="H70" s="442">
        <f t="shared" si="14"/>
        <v>5.0699999999999985</v>
      </c>
      <c r="I70" s="415">
        <f t="shared" ref="I70:AV70" si="15">I65</f>
        <v>5162701.1900000004</v>
      </c>
      <c r="J70" s="442">
        <f t="shared" si="15"/>
        <v>4.9699999999999989</v>
      </c>
      <c r="K70" s="415">
        <f t="shared" si="15"/>
        <v>5165977.2700000005</v>
      </c>
      <c r="L70" s="442">
        <f t="shared" si="15"/>
        <v>5.009999999999998</v>
      </c>
      <c r="M70" s="415">
        <f t="shared" si="15"/>
        <v>5136992.66</v>
      </c>
      <c r="N70" s="442">
        <f t="shared" si="15"/>
        <v>4.9799999999999978</v>
      </c>
      <c r="O70" s="415">
        <f t="shared" si="15"/>
        <v>5002291.4299999988</v>
      </c>
      <c r="P70" s="442">
        <f t="shared" si="15"/>
        <v>4.8399999999999981</v>
      </c>
      <c r="Q70" s="415">
        <f t="shared" si="15"/>
        <v>4945181.62</v>
      </c>
      <c r="R70" s="442">
        <f t="shared" si="15"/>
        <v>4.7799999999999994</v>
      </c>
      <c r="S70" s="415">
        <f t="shared" si="15"/>
        <v>4949856.8500000015</v>
      </c>
      <c r="T70" s="442">
        <f t="shared" si="15"/>
        <v>4.8</v>
      </c>
      <c r="U70" s="415">
        <f t="shared" si="15"/>
        <v>4948807.7300000014</v>
      </c>
      <c r="V70" s="442">
        <f t="shared" si="15"/>
        <v>4.79</v>
      </c>
      <c r="W70" s="415">
        <f t="shared" si="15"/>
        <v>4941249.4700000016</v>
      </c>
      <c r="X70" s="442">
        <f t="shared" si="15"/>
        <v>4.78</v>
      </c>
      <c r="Y70" s="415">
        <f t="shared" si="15"/>
        <v>4943354.3899999997</v>
      </c>
      <c r="Z70" s="442">
        <f t="shared" si="15"/>
        <v>4.7700000000000005</v>
      </c>
      <c r="AA70" s="415">
        <f t="shared" si="15"/>
        <v>4947346</v>
      </c>
      <c r="AB70" s="442">
        <f t="shared" si="15"/>
        <v>4.7799999999999994</v>
      </c>
      <c r="AC70" s="415">
        <f t="shared" si="15"/>
        <v>4954512.9300000006</v>
      </c>
      <c r="AD70" s="442">
        <f t="shared" si="15"/>
        <v>4.7799999999999994</v>
      </c>
      <c r="AE70" s="629">
        <f t="shared" si="15"/>
        <v>5077282.88</v>
      </c>
      <c r="AF70" s="442">
        <f t="shared" si="15"/>
        <v>4.919999999999999</v>
      </c>
      <c r="AG70" s="689">
        <f t="shared" si="15"/>
        <v>5079387.8000000007</v>
      </c>
      <c r="AH70" s="690">
        <f t="shared" si="15"/>
        <v>4.9099999999999993</v>
      </c>
      <c r="AI70" s="689">
        <f t="shared" si="15"/>
        <v>5182443.1300000018</v>
      </c>
      <c r="AJ70" s="690">
        <f t="shared" si="15"/>
        <v>4.9999999999999991</v>
      </c>
      <c r="AK70" s="689">
        <f t="shared" si="15"/>
        <v>5188757.8499999996</v>
      </c>
      <c r="AL70" s="690">
        <f t="shared" si="15"/>
        <v>4.9999999999999973</v>
      </c>
      <c r="AM70" s="689">
        <f t="shared" si="15"/>
        <v>5190862.78</v>
      </c>
      <c r="AN70" s="690">
        <f t="shared" si="15"/>
        <v>4.9999999999999973</v>
      </c>
      <c r="AO70" s="689">
        <f t="shared" si="15"/>
        <v>5092507.25</v>
      </c>
      <c r="AP70" s="690">
        <f t="shared" si="15"/>
        <v>4.9099999999999984</v>
      </c>
      <c r="AQ70" s="689">
        <f t="shared" si="15"/>
        <v>5085498</v>
      </c>
      <c r="AR70" s="690">
        <f t="shared" si="15"/>
        <v>4.8899999999999988</v>
      </c>
      <c r="AS70" s="689">
        <f t="shared" si="15"/>
        <v>5087495.5200000005</v>
      </c>
      <c r="AT70" s="690">
        <f t="shared" si="15"/>
        <v>4.8899999999999997</v>
      </c>
      <c r="AU70" s="689">
        <f t="shared" si="15"/>
        <v>5249660.2299999995</v>
      </c>
      <c r="AV70" s="690">
        <f t="shared" si="15"/>
        <v>5.0400000000000009</v>
      </c>
    </row>
    <row r="71" spans="1:48" ht="16.5" thickBot="1">
      <c r="A71" s="151"/>
      <c r="B71" s="152" t="s">
        <v>111</v>
      </c>
      <c r="C71" s="416">
        <f t="shared" ref="C71:H71" si="16">SUM(C66:C70)</f>
        <v>103485938.16</v>
      </c>
      <c r="D71" s="443">
        <f t="shared" si="16"/>
        <v>100</v>
      </c>
      <c r="E71" s="416">
        <f t="shared" si="16"/>
        <v>103253598.48</v>
      </c>
      <c r="F71" s="443">
        <f t="shared" si="16"/>
        <v>100</v>
      </c>
      <c r="G71" s="416">
        <f t="shared" si="16"/>
        <v>103848104.51000001</v>
      </c>
      <c r="H71" s="443">
        <f t="shared" si="16"/>
        <v>99.999999999999986</v>
      </c>
      <c r="I71" s="416">
        <f t="shared" ref="I71:AV71" si="17">SUM(I66:I70)</f>
        <v>103767542.66</v>
      </c>
      <c r="J71" s="443">
        <f t="shared" si="17"/>
        <v>100</v>
      </c>
      <c r="K71" s="416">
        <f t="shared" si="17"/>
        <v>103156301.84</v>
      </c>
      <c r="L71" s="443">
        <f t="shared" si="17"/>
        <v>100.00000000000003</v>
      </c>
      <c r="M71" s="416">
        <f t="shared" si="17"/>
        <v>103183365.42</v>
      </c>
      <c r="N71" s="443">
        <f t="shared" si="17"/>
        <v>100.00000000000001</v>
      </c>
      <c r="O71" s="416">
        <f t="shared" si="17"/>
        <v>103302179.23</v>
      </c>
      <c r="P71" s="443">
        <f t="shared" si="17"/>
        <v>100.00000000000001</v>
      </c>
      <c r="Q71" s="416">
        <f t="shared" si="17"/>
        <v>103370061.80000001</v>
      </c>
      <c r="R71" s="443">
        <f t="shared" si="17"/>
        <v>100.00000000000001</v>
      </c>
      <c r="S71" s="416">
        <f t="shared" si="17"/>
        <v>103182102.54000002</v>
      </c>
      <c r="T71" s="443">
        <f t="shared" si="17"/>
        <v>100.00000000000001</v>
      </c>
      <c r="U71" s="416">
        <f t="shared" si="17"/>
        <v>103296436.72</v>
      </c>
      <c r="V71" s="443">
        <f t="shared" si="17"/>
        <v>100.00000000000001</v>
      </c>
      <c r="W71" s="416">
        <f t="shared" si="17"/>
        <v>103495804.40000001</v>
      </c>
      <c r="X71" s="443">
        <f t="shared" si="17"/>
        <v>100</v>
      </c>
      <c r="Y71" s="416">
        <f t="shared" si="17"/>
        <v>103524825.41</v>
      </c>
      <c r="Z71" s="443">
        <f t="shared" si="17"/>
        <v>100</v>
      </c>
      <c r="AA71" s="416">
        <f t="shared" si="17"/>
        <v>103520463.76000001</v>
      </c>
      <c r="AB71" s="443">
        <f t="shared" si="17"/>
        <v>100</v>
      </c>
      <c r="AC71" s="416">
        <f t="shared" si="17"/>
        <v>103614331.68000001</v>
      </c>
      <c r="AD71" s="443">
        <f t="shared" si="17"/>
        <v>100.00000000000001</v>
      </c>
      <c r="AE71" s="416">
        <f t="shared" si="17"/>
        <v>103439976.97</v>
      </c>
      <c r="AF71" s="443">
        <f t="shared" si="17"/>
        <v>100.00000000000001</v>
      </c>
      <c r="AG71" s="691">
        <f t="shared" si="17"/>
        <v>103359741.27</v>
      </c>
      <c r="AH71" s="691">
        <f t="shared" si="17"/>
        <v>100</v>
      </c>
      <c r="AI71" s="691">
        <f t="shared" si="17"/>
        <v>103701072.40000001</v>
      </c>
      <c r="AJ71" s="691">
        <f t="shared" si="17"/>
        <v>100.00000000000001</v>
      </c>
      <c r="AK71" s="691">
        <f t="shared" si="17"/>
        <v>103788987.64999999</v>
      </c>
      <c r="AL71" s="691">
        <f t="shared" si="17"/>
        <v>100</v>
      </c>
      <c r="AM71" s="691">
        <f t="shared" si="17"/>
        <v>103875258.60000001</v>
      </c>
      <c r="AN71" s="691">
        <f t="shared" si="17"/>
        <v>100</v>
      </c>
      <c r="AO71" s="691">
        <f t="shared" si="17"/>
        <v>103657997.48999999</v>
      </c>
      <c r="AP71" s="691">
        <f t="shared" si="17"/>
        <v>100</v>
      </c>
      <c r="AQ71" s="691">
        <f t="shared" si="17"/>
        <v>103777507.84</v>
      </c>
      <c r="AR71" s="691">
        <f t="shared" si="17"/>
        <v>100.00000000000001</v>
      </c>
      <c r="AS71" s="691">
        <f t="shared" si="17"/>
        <v>103863898.36</v>
      </c>
      <c r="AT71" s="691">
        <f t="shared" si="17"/>
        <v>100</v>
      </c>
      <c r="AU71" s="691">
        <f t="shared" si="17"/>
        <v>103968231.2</v>
      </c>
      <c r="AV71" s="691">
        <f t="shared" si="17"/>
        <v>100.00000000000001</v>
      </c>
    </row>
    <row r="73" spans="1:48">
      <c r="C73" s="417">
        <v>101164999.72</v>
      </c>
      <c r="E73" s="417">
        <v>101164999.72</v>
      </c>
    </row>
    <row r="77" spans="1:48">
      <c r="C77" s="417">
        <v>6225815.5599999996</v>
      </c>
      <c r="E77" s="417">
        <v>6225815.5599999996</v>
      </c>
    </row>
  </sheetData>
  <mergeCells count="41">
    <mergeCell ref="AQ1:AR1"/>
    <mergeCell ref="AS1:AT1"/>
    <mergeCell ref="AA1:AB1"/>
    <mergeCell ref="AC1:AD1"/>
    <mergeCell ref="Q1:R1"/>
    <mergeCell ref="AO1:AP1"/>
    <mergeCell ref="AK1:AL1"/>
    <mergeCell ref="AM1:AN1"/>
    <mergeCell ref="A56:B56"/>
    <mergeCell ref="E1:F1"/>
    <mergeCell ref="G1:H1"/>
    <mergeCell ref="A9:B9"/>
    <mergeCell ref="A55:B55"/>
    <mergeCell ref="A35:B35"/>
    <mergeCell ref="A50:B50"/>
    <mergeCell ref="A34:B34"/>
    <mergeCell ref="A33:B33"/>
    <mergeCell ref="A70:B70"/>
    <mergeCell ref="A57:B57"/>
    <mergeCell ref="A58:B58"/>
    <mergeCell ref="A59:B59"/>
    <mergeCell ref="A60:B60"/>
    <mergeCell ref="A61:B61"/>
    <mergeCell ref="A64:B64"/>
    <mergeCell ref="A65:B65"/>
    <mergeCell ref="AU1:AV1"/>
    <mergeCell ref="A15:B15"/>
    <mergeCell ref="A18:B18"/>
    <mergeCell ref="A22:B22"/>
    <mergeCell ref="C1:D1"/>
    <mergeCell ref="I1:J1"/>
    <mergeCell ref="M1:N1"/>
    <mergeCell ref="AI1:AJ1"/>
    <mergeCell ref="AG1:AH1"/>
    <mergeCell ref="AE1:AF1"/>
    <mergeCell ref="K1:L1"/>
    <mergeCell ref="W1:X1"/>
    <mergeCell ref="Y1:Z1"/>
    <mergeCell ref="U1:V1"/>
    <mergeCell ref="S1:T1"/>
    <mergeCell ref="O1:P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70"/>
  <sheetViews>
    <sheetView topLeftCell="A67" zoomScale="130" zoomScaleNormal="130" workbookViewId="0">
      <selection activeCell="A71" sqref="A71:XFD71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692" hidden="1" customWidth="1"/>
    <col min="4" max="4" width="12.5703125" style="692" hidden="1" customWidth="1"/>
    <col min="5" max="5" width="23.140625" style="692" hidden="1" customWidth="1"/>
    <col min="6" max="6" width="12.5703125" style="692" hidden="1" customWidth="1"/>
    <col min="7" max="7" width="23.140625" style="692" hidden="1" customWidth="1"/>
    <col min="8" max="8" width="12.5703125" style="692" hidden="1" customWidth="1"/>
    <col min="9" max="9" width="23.140625" style="692" hidden="1" customWidth="1"/>
    <col min="10" max="10" width="12.5703125" style="692" hidden="1" customWidth="1"/>
    <col min="11" max="11" width="23.140625" style="692" hidden="1" customWidth="1"/>
    <col min="12" max="12" width="12.5703125" style="692" hidden="1" customWidth="1"/>
    <col min="13" max="13" width="23.140625" style="692" hidden="1" customWidth="1"/>
    <col min="14" max="14" width="12.5703125" style="692" hidden="1" customWidth="1"/>
    <col min="15" max="15" width="23.140625" style="692" hidden="1" customWidth="1"/>
    <col min="16" max="16" width="12.5703125" style="692" hidden="1" customWidth="1"/>
    <col min="17" max="17" width="23.140625" style="692" hidden="1" customWidth="1"/>
    <col min="18" max="18" width="12.5703125" style="692" hidden="1" customWidth="1"/>
    <col min="19" max="19" width="23.140625" style="692" hidden="1" customWidth="1"/>
    <col min="20" max="20" width="12.5703125" style="692" hidden="1" customWidth="1"/>
    <col min="21" max="21" width="23.140625" style="692" hidden="1" customWidth="1"/>
    <col min="22" max="22" width="12.5703125" style="692" hidden="1" customWidth="1"/>
    <col min="23" max="23" width="23.140625" style="692" hidden="1" customWidth="1"/>
    <col min="24" max="24" width="12.5703125" style="692" hidden="1" customWidth="1"/>
    <col min="25" max="25" width="23.140625" style="692" hidden="1" customWidth="1"/>
    <col min="26" max="26" width="12.5703125" style="692" hidden="1" customWidth="1"/>
    <col min="27" max="27" width="23.140625" style="692" hidden="1" customWidth="1"/>
    <col min="28" max="28" width="12.5703125" style="692" hidden="1" customWidth="1"/>
    <col min="29" max="29" width="23.140625" style="692" hidden="1" customWidth="1"/>
    <col min="30" max="30" width="12.5703125" style="692" hidden="1" customWidth="1"/>
    <col min="31" max="31" width="23.140625" style="692" hidden="1" customWidth="1"/>
    <col min="32" max="32" width="12.5703125" style="692" hidden="1" customWidth="1"/>
    <col min="33" max="33" width="23.140625" style="692" customWidth="1"/>
    <col min="34" max="34" width="12.5703125" style="692" customWidth="1"/>
    <col min="35" max="35" width="23.140625" style="692" customWidth="1"/>
    <col min="36" max="36" width="12.5703125" style="692" hidden="1" customWidth="1"/>
    <col min="37" max="37" width="23.140625" style="692" hidden="1" customWidth="1"/>
    <col min="38" max="38" width="12.5703125" style="692" hidden="1" customWidth="1"/>
    <col min="39" max="39" width="23.140625" style="692" hidden="1" customWidth="1"/>
    <col min="40" max="40" width="12.5703125" style="692" hidden="1" customWidth="1"/>
    <col min="41" max="41" width="23.140625" style="692" hidden="1" customWidth="1"/>
    <col min="42" max="42" width="12.5703125" style="692" hidden="1" customWidth="1"/>
    <col min="43" max="43" width="23.140625" style="692" hidden="1" customWidth="1"/>
    <col min="44" max="44" width="12.5703125" style="692" hidden="1" customWidth="1"/>
    <col min="45" max="45" width="23.140625" style="630" customWidth="1"/>
    <col min="46" max="46" width="12.5703125" style="692" customWidth="1"/>
  </cols>
  <sheetData>
    <row r="1" spans="1:46">
      <c r="C1" s="1035">
        <v>1</v>
      </c>
      <c r="D1" s="1036"/>
      <c r="E1" s="1035">
        <v>2</v>
      </c>
      <c r="F1" s="1036"/>
      <c r="G1" s="1035">
        <v>3</v>
      </c>
      <c r="H1" s="1036"/>
      <c r="I1" s="1035">
        <v>4</v>
      </c>
      <c r="J1" s="1036"/>
      <c r="K1" s="1035">
        <v>7</v>
      </c>
      <c r="L1" s="1036"/>
      <c r="M1" s="1035">
        <v>8</v>
      </c>
      <c r="N1" s="1036"/>
      <c r="O1" s="1035">
        <v>9</v>
      </c>
      <c r="P1" s="1036"/>
      <c r="Q1" s="1035">
        <v>10</v>
      </c>
      <c r="R1" s="1036"/>
      <c r="S1" s="1035">
        <v>11</v>
      </c>
      <c r="T1" s="1036"/>
      <c r="U1" s="1035">
        <v>14</v>
      </c>
      <c r="V1" s="1036"/>
      <c r="W1" s="1035">
        <v>15</v>
      </c>
      <c r="X1" s="1036"/>
      <c r="Y1" s="1035">
        <v>16</v>
      </c>
      <c r="Z1" s="1036"/>
      <c r="AA1" s="1035">
        <v>17</v>
      </c>
      <c r="AB1" s="1036"/>
      <c r="AC1" s="1035">
        <v>18</v>
      </c>
      <c r="AD1" s="1036"/>
      <c r="AE1" s="1035">
        <v>21</v>
      </c>
      <c r="AF1" s="1036"/>
      <c r="AG1" s="1035">
        <v>22</v>
      </c>
      <c r="AH1" s="1036"/>
      <c r="AI1" s="1035">
        <v>23</v>
      </c>
      <c r="AJ1" s="1036"/>
      <c r="AK1" s="1035">
        <v>24</v>
      </c>
      <c r="AL1" s="1036"/>
      <c r="AM1" s="1035">
        <v>25</v>
      </c>
      <c r="AN1" s="1036"/>
      <c r="AO1" s="1035">
        <v>28</v>
      </c>
      <c r="AP1" s="1036"/>
      <c r="AQ1" s="1035">
        <v>29</v>
      </c>
      <c r="AR1" s="1036"/>
      <c r="AS1" s="1035">
        <v>30</v>
      </c>
      <c r="AT1" s="1036"/>
    </row>
    <row r="2" spans="1:46">
      <c r="A2" s="418" t="s">
        <v>129</v>
      </c>
      <c r="B2" s="58" t="s">
        <v>15</v>
      </c>
      <c r="C2" s="631">
        <v>6659496</v>
      </c>
      <c r="D2" s="632">
        <v>6.41</v>
      </c>
      <c r="E2" s="634">
        <v>6625142.0099999998</v>
      </c>
      <c r="F2" s="697">
        <v>6.39</v>
      </c>
      <c r="G2" s="634">
        <v>6627882.6200000001</v>
      </c>
      <c r="H2" s="697">
        <v>6.41</v>
      </c>
      <c r="I2" s="631">
        <v>6668268</v>
      </c>
      <c r="J2" s="632">
        <v>6.45</v>
      </c>
      <c r="K2" s="631">
        <v>6676975.5</v>
      </c>
      <c r="L2" s="632">
        <v>6.46</v>
      </c>
      <c r="M2" s="634">
        <v>6642228.71</v>
      </c>
      <c r="N2" s="697">
        <v>6.42</v>
      </c>
      <c r="O2" s="634">
        <v>6645033.1699999999</v>
      </c>
      <c r="P2" s="697">
        <v>6.42</v>
      </c>
      <c r="Q2" s="634">
        <v>6647966.6200000001</v>
      </c>
      <c r="R2" s="697">
        <v>6.42</v>
      </c>
      <c r="S2" s="631">
        <v>6682845</v>
      </c>
      <c r="T2" s="632">
        <v>6.45</v>
      </c>
      <c r="U2" s="631">
        <v>6691552.5</v>
      </c>
      <c r="V2" s="632">
        <v>6.46</v>
      </c>
      <c r="W2" s="634">
        <v>6662183.7199999997</v>
      </c>
      <c r="X2" s="697">
        <v>6.43</v>
      </c>
      <c r="Y2" s="631">
        <v>6665052.6799999997</v>
      </c>
      <c r="Z2" s="632">
        <v>6.42</v>
      </c>
      <c r="AA2" s="715">
        <v>6667986.7800000003</v>
      </c>
      <c r="AB2" s="716">
        <v>6.42</v>
      </c>
      <c r="AC2" s="715">
        <v>6679498.7400000002</v>
      </c>
      <c r="AD2" s="716">
        <v>6.43</v>
      </c>
      <c r="AE2" s="741">
        <v>6737605.5</v>
      </c>
      <c r="AF2" s="723">
        <v>6.48</v>
      </c>
      <c r="AG2" s="741">
        <v>6725028</v>
      </c>
      <c r="AH2" s="723">
        <v>6.47</v>
      </c>
      <c r="AI2" s="741">
        <v>6727930.5</v>
      </c>
      <c r="AJ2" s="723">
        <v>6.47</v>
      </c>
      <c r="AK2" s="741">
        <v>6730768.5</v>
      </c>
      <c r="AL2" s="723">
        <v>6.47</v>
      </c>
      <c r="AM2" s="715">
        <v>6691004.8899999997</v>
      </c>
      <c r="AN2" s="716">
        <v>6.44</v>
      </c>
      <c r="AO2" s="741">
        <v>6742249.5</v>
      </c>
      <c r="AP2" s="723">
        <v>6.48</v>
      </c>
      <c r="AQ2" s="741">
        <v>6727672.5</v>
      </c>
      <c r="AR2" s="723">
        <v>6.48</v>
      </c>
      <c r="AS2" s="744">
        <v>6732381</v>
      </c>
      <c r="AT2" s="200">
        <v>6.47</v>
      </c>
    </row>
    <row r="3" spans="1:46">
      <c r="A3" s="418" t="s">
        <v>123</v>
      </c>
      <c r="B3" s="58" t="s">
        <v>15</v>
      </c>
      <c r="C3" s="631">
        <v>4484637.3600000003</v>
      </c>
      <c r="D3" s="632">
        <v>4.3099999999999996</v>
      </c>
      <c r="E3" s="631">
        <v>4486441.68</v>
      </c>
      <c r="F3" s="632">
        <v>4.32</v>
      </c>
      <c r="G3" s="631">
        <v>4488246</v>
      </c>
      <c r="H3" s="632">
        <v>4.34</v>
      </c>
      <c r="I3" s="637">
        <v>4490050.32</v>
      </c>
      <c r="J3" s="702">
        <v>4.3499999999999996</v>
      </c>
      <c r="K3" s="637">
        <v>4493517.1900000004</v>
      </c>
      <c r="L3" s="702">
        <v>4.3499999999999996</v>
      </c>
      <c r="M3" s="693">
        <v>4491854.6399999997</v>
      </c>
      <c r="N3" s="704">
        <v>4.34</v>
      </c>
      <c r="O3" s="693">
        <v>4493658.96</v>
      </c>
      <c r="P3" s="704">
        <v>4.34</v>
      </c>
      <c r="Q3" s="693">
        <v>4495506.24</v>
      </c>
      <c r="R3" s="704">
        <v>4.34</v>
      </c>
      <c r="S3" s="693">
        <v>4497353.5199999996</v>
      </c>
      <c r="T3" s="704">
        <v>4.34</v>
      </c>
      <c r="U3" s="693">
        <v>4502852.4000000004</v>
      </c>
      <c r="V3" s="704">
        <v>4.3499999999999996</v>
      </c>
      <c r="W3" s="693">
        <v>4503926.4000000004</v>
      </c>
      <c r="X3" s="704">
        <v>4.3499999999999996</v>
      </c>
      <c r="Y3" s="693">
        <v>4505730.72</v>
      </c>
      <c r="Z3" s="704">
        <v>4.34</v>
      </c>
      <c r="AA3" s="719">
        <v>4507535.04</v>
      </c>
      <c r="AB3" s="718">
        <v>4.34</v>
      </c>
      <c r="AC3" s="719">
        <v>4509339.3600000003</v>
      </c>
      <c r="AD3" s="723">
        <v>4.34</v>
      </c>
      <c r="AE3" s="719">
        <v>4514795.28</v>
      </c>
      <c r="AF3" s="723">
        <v>4.34</v>
      </c>
      <c r="AG3" s="719">
        <v>4519263.12</v>
      </c>
      <c r="AH3" s="723">
        <v>4.3499999999999996</v>
      </c>
      <c r="AI3" s="719">
        <v>4521067.4400000004</v>
      </c>
      <c r="AJ3" s="723">
        <v>4.3499999999999996</v>
      </c>
      <c r="AK3" s="719">
        <v>4522914.72</v>
      </c>
      <c r="AL3" s="723">
        <v>4.3499999999999996</v>
      </c>
      <c r="AM3" s="719">
        <v>4524719.04</v>
      </c>
      <c r="AN3" s="723">
        <v>4.3499999999999996</v>
      </c>
      <c r="AO3" s="742">
        <v>4530174.96</v>
      </c>
      <c r="AP3" s="723">
        <v>4.3499999999999996</v>
      </c>
      <c r="AQ3" s="742">
        <v>4531334.88</v>
      </c>
      <c r="AR3" s="723">
        <v>4.3600000000000003</v>
      </c>
      <c r="AS3" s="745">
        <v>4532795.5199999996</v>
      </c>
      <c r="AT3" s="723">
        <v>4.3600000000000003</v>
      </c>
    </row>
    <row r="4" spans="1:46">
      <c r="A4" s="418" t="s">
        <v>115</v>
      </c>
      <c r="B4" s="58" t="s">
        <v>15</v>
      </c>
      <c r="C4" s="631">
        <v>10207659.84</v>
      </c>
      <c r="D4" s="633">
        <v>9.82</v>
      </c>
      <c r="E4" s="631">
        <v>10211853.390000001</v>
      </c>
      <c r="F4" s="633">
        <v>9.84</v>
      </c>
      <c r="G4" s="631">
        <v>10216140.130000001</v>
      </c>
      <c r="H4" s="633">
        <v>9.89</v>
      </c>
      <c r="I4" s="637">
        <v>10236473.26</v>
      </c>
      <c r="J4" s="703">
        <v>9.91</v>
      </c>
      <c r="K4" s="637">
        <v>10248466.810000001</v>
      </c>
      <c r="L4" s="703">
        <v>9.92</v>
      </c>
      <c r="M4" s="693">
        <v>10222570.24</v>
      </c>
      <c r="N4" s="705">
        <v>9.8699999999999992</v>
      </c>
      <c r="O4" s="637">
        <v>10256369.32</v>
      </c>
      <c r="P4" s="703">
        <v>9.91</v>
      </c>
      <c r="Q4" s="637">
        <v>10260367.17</v>
      </c>
      <c r="R4" s="703">
        <v>9.91</v>
      </c>
      <c r="S4" s="637">
        <v>10264458.210000001</v>
      </c>
      <c r="T4" s="703">
        <v>9.91</v>
      </c>
      <c r="U4" s="637">
        <v>10276452.689999999</v>
      </c>
      <c r="V4" s="703">
        <v>9.92</v>
      </c>
      <c r="W4" s="637">
        <v>10280357.359999999</v>
      </c>
      <c r="X4" s="703">
        <v>9.92</v>
      </c>
      <c r="Y4" s="637">
        <v>9431853.0899999999</v>
      </c>
      <c r="Z4" s="703">
        <v>9.09</v>
      </c>
      <c r="AA4" s="720">
        <v>9435673.8800000008</v>
      </c>
      <c r="AB4" s="718">
        <v>9.09</v>
      </c>
      <c r="AC4" s="722">
        <v>9439494.6699999999</v>
      </c>
      <c r="AD4" s="723">
        <v>9.09</v>
      </c>
      <c r="AE4" s="722">
        <v>9451050.2300000004</v>
      </c>
      <c r="AF4" s="723">
        <v>9.09</v>
      </c>
      <c r="AG4" s="722">
        <v>9457387.1500000004</v>
      </c>
      <c r="AH4" s="723">
        <v>9.1</v>
      </c>
      <c r="AI4" s="722">
        <v>9461301.1300000008</v>
      </c>
      <c r="AJ4" s="723">
        <v>9.1</v>
      </c>
      <c r="AK4" s="722">
        <v>9465215.1099999994</v>
      </c>
      <c r="AL4" s="723">
        <v>9.11</v>
      </c>
      <c r="AM4" s="722">
        <v>9469129.0899999999</v>
      </c>
      <c r="AN4" s="723">
        <v>9.11</v>
      </c>
      <c r="AO4" s="741">
        <v>9480871.0299999993</v>
      </c>
      <c r="AP4" s="723">
        <v>9.11</v>
      </c>
      <c r="AQ4" s="741">
        <v>9479752.75</v>
      </c>
      <c r="AR4" s="723">
        <v>9.1300000000000008</v>
      </c>
      <c r="AS4" s="746">
        <v>9483200.7799999993</v>
      </c>
      <c r="AT4" s="723">
        <v>9.1199999999999992</v>
      </c>
    </row>
    <row r="5" spans="1:46">
      <c r="A5" s="418" t="s">
        <v>118</v>
      </c>
      <c r="B5" s="58" t="s">
        <v>15</v>
      </c>
      <c r="C5" s="634">
        <v>8158020</v>
      </c>
      <c r="D5" s="695">
        <v>7.85</v>
      </c>
      <c r="E5" s="634">
        <v>8171057.7000000002</v>
      </c>
      <c r="F5" s="695">
        <v>7.88</v>
      </c>
      <c r="G5" s="634">
        <v>8174283.7800000003</v>
      </c>
      <c r="H5" s="695">
        <v>7.91</v>
      </c>
      <c r="I5" s="631">
        <v>8177587.0800000001</v>
      </c>
      <c r="J5" s="633">
        <v>7.92</v>
      </c>
      <c r="K5" s="634">
        <v>8187496.9800000004</v>
      </c>
      <c r="L5" s="695">
        <v>7.93</v>
      </c>
      <c r="M5" s="634">
        <v>8190800.2800000003</v>
      </c>
      <c r="N5" s="695">
        <v>7.91</v>
      </c>
      <c r="O5" s="634">
        <v>8194104.3600000003</v>
      </c>
      <c r="P5" s="695">
        <v>7.92</v>
      </c>
      <c r="Q5" s="634">
        <v>8200137.6600000001</v>
      </c>
      <c r="R5" s="695">
        <v>7.92</v>
      </c>
      <c r="S5" s="634">
        <v>8203440.96</v>
      </c>
      <c r="T5" s="695">
        <v>7.92</v>
      </c>
      <c r="U5" s="634">
        <v>8213272.8600000003</v>
      </c>
      <c r="V5" s="695">
        <v>7.93</v>
      </c>
      <c r="W5" s="634">
        <v>8216576.9400000004</v>
      </c>
      <c r="X5" s="695">
        <v>7.93</v>
      </c>
      <c r="Y5" s="634">
        <v>8219880.2400000002</v>
      </c>
      <c r="Z5" s="695">
        <v>7.92</v>
      </c>
      <c r="AA5" s="717">
        <v>8223183.54</v>
      </c>
      <c r="AB5" s="716">
        <v>7.92</v>
      </c>
      <c r="AC5" s="717">
        <v>8237094.8399999999</v>
      </c>
      <c r="AD5" s="716">
        <v>7.93</v>
      </c>
      <c r="AE5" s="717">
        <v>8249501.5199999996</v>
      </c>
      <c r="AF5" s="716">
        <v>7.93</v>
      </c>
      <c r="AG5" s="717">
        <v>8252726.8200000003</v>
      </c>
      <c r="AH5" s="716">
        <v>7.94</v>
      </c>
      <c r="AI5" s="717">
        <v>8257590.1200000001</v>
      </c>
      <c r="AJ5" s="716">
        <v>7.94</v>
      </c>
      <c r="AK5" s="717">
        <v>8272281.4199999999</v>
      </c>
      <c r="AL5" s="716">
        <v>7.96</v>
      </c>
      <c r="AM5" s="717">
        <v>8270358.7199999997</v>
      </c>
      <c r="AN5" s="716">
        <v>7.96</v>
      </c>
      <c r="AO5" s="742">
        <v>8248656</v>
      </c>
      <c r="AP5" s="723">
        <v>7.93</v>
      </c>
      <c r="AQ5" s="742">
        <v>8241948</v>
      </c>
      <c r="AR5" s="723">
        <v>7.93</v>
      </c>
      <c r="AS5" s="745">
        <v>8246082</v>
      </c>
      <c r="AT5" s="723">
        <v>7.93</v>
      </c>
    </row>
    <row r="6" spans="1:46">
      <c r="A6" s="477" t="s">
        <v>124</v>
      </c>
      <c r="B6" s="58" t="s">
        <v>15</v>
      </c>
      <c r="C6" s="631">
        <v>8076802.7599999998</v>
      </c>
      <c r="D6" s="636">
        <v>7.77</v>
      </c>
      <c r="E6" s="631">
        <v>8080218.3799999999</v>
      </c>
      <c r="F6" s="636">
        <v>7.78</v>
      </c>
      <c r="G6" s="631">
        <v>8083721.5800000001</v>
      </c>
      <c r="H6" s="636">
        <v>7.82</v>
      </c>
      <c r="I6" s="634">
        <v>7928761.0300000003</v>
      </c>
      <c r="J6" s="635">
        <v>7.68</v>
      </c>
      <c r="K6" s="631">
        <v>8097471.6399999997</v>
      </c>
      <c r="L6" s="636">
        <v>7.84</v>
      </c>
      <c r="M6" s="631">
        <v>8107105.4400000004</v>
      </c>
      <c r="N6" s="636">
        <v>7.83</v>
      </c>
      <c r="O6" s="631">
        <v>8110608.6399999997</v>
      </c>
      <c r="P6" s="636">
        <v>7.84</v>
      </c>
      <c r="Q6" s="631">
        <v>8114024.2599999998</v>
      </c>
      <c r="R6" s="636">
        <v>7.84</v>
      </c>
      <c r="S6" s="631">
        <v>8117439.8799999999</v>
      </c>
      <c r="T6" s="636">
        <v>7.84</v>
      </c>
      <c r="U6" s="631">
        <v>8127774.3200000003</v>
      </c>
      <c r="V6" s="636">
        <v>7.85</v>
      </c>
      <c r="W6" s="631">
        <v>7987426.4900000002</v>
      </c>
      <c r="X6" s="636">
        <v>7.71</v>
      </c>
      <c r="Y6" s="631">
        <v>8200115.4000000004</v>
      </c>
      <c r="Z6" s="636">
        <v>7.9</v>
      </c>
      <c r="AA6" s="722">
        <v>8203443.4400000004</v>
      </c>
      <c r="AB6" s="721">
        <v>7.9</v>
      </c>
      <c r="AC6" s="722">
        <v>8206859.0599999996</v>
      </c>
      <c r="AD6" s="723">
        <v>7.9</v>
      </c>
      <c r="AE6" s="722">
        <v>8217105.9199999999</v>
      </c>
      <c r="AF6" s="723">
        <v>7.9</v>
      </c>
      <c r="AG6" s="722">
        <v>8186190.1799999997</v>
      </c>
      <c r="AH6" s="723">
        <v>7.87</v>
      </c>
      <c r="AI6" s="722">
        <v>8189518.2199999997</v>
      </c>
      <c r="AJ6" s="723">
        <v>7.87</v>
      </c>
      <c r="AK6" s="722">
        <v>8192933.8399999999</v>
      </c>
      <c r="AL6" s="723">
        <v>7.88</v>
      </c>
      <c r="AM6" s="722">
        <v>8196349.46</v>
      </c>
      <c r="AN6" s="723">
        <v>7.88</v>
      </c>
      <c r="AO6" s="722">
        <v>8206508.7400000002</v>
      </c>
      <c r="AP6" s="723">
        <v>7.89</v>
      </c>
      <c r="AQ6" s="722">
        <v>8154748.96</v>
      </c>
      <c r="AR6" s="723">
        <v>7.85</v>
      </c>
      <c r="AS6" s="747">
        <v>8159565.8600000003</v>
      </c>
      <c r="AT6" s="723">
        <v>7.85</v>
      </c>
    </row>
    <row r="7" spans="1:46">
      <c r="A7" s="418" t="s">
        <v>130</v>
      </c>
      <c r="B7" s="58" t="s">
        <v>15</v>
      </c>
      <c r="C7" s="631">
        <v>8581770</v>
      </c>
      <c r="D7" s="636">
        <v>8.26</v>
      </c>
      <c r="E7" s="631">
        <v>8585404</v>
      </c>
      <c r="F7" s="636">
        <v>8.27</v>
      </c>
      <c r="G7" s="631">
        <v>8589038</v>
      </c>
      <c r="H7" s="636">
        <v>8.31</v>
      </c>
      <c r="I7" s="631">
        <v>8592672</v>
      </c>
      <c r="J7" s="636">
        <v>8.32</v>
      </c>
      <c r="K7" s="634">
        <v>8368181.6500000004</v>
      </c>
      <c r="L7" s="635">
        <v>8.1</v>
      </c>
      <c r="M7" s="631">
        <v>8613054</v>
      </c>
      <c r="N7" s="636">
        <v>8.32</v>
      </c>
      <c r="O7" s="631">
        <v>8616688</v>
      </c>
      <c r="P7" s="636">
        <v>8.33</v>
      </c>
      <c r="Q7" s="631">
        <v>8620322</v>
      </c>
      <c r="R7" s="636">
        <v>8.33</v>
      </c>
      <c r="S7" s="631">
        <v>8623956</v>
      </c>
      <c r="T7" s="636">
        <v>8.33</v>
      </c>
      <c r="U7" s="631">
        <v>8634858</v>
      </c>
      <c r="V7" s="636">
        <v>8.33</v>
      </c>
      <c r="W7" s="631">
        <v>8705247</v>
      </c>
      <c r="X7" s="636">
        <v>8.4</v>
      </c>
      <c r="Y7" s="631">
        <v>8708881</v>
      </c>
      <c r="Z7" s="636">
        <v>8.39</v>
      </c>
      <c r="AA7" s="722">
        <v>8712515</v>
      </c>
      <c r="AB7" s="721">
        <v>8.39</v>
      </c>
      <c r="AC7" s="722">
        <v>8716070</v>
      </c>
      <c r="AD7" s="723">
        <v>8.39</v>
      </c>
      <c r="AE7" s="722">
        <v>8726893</v>
      </c>
      <c r="AF7" s="723">
        <v>8.39</v>
      </c>
      <c r="AG7" s="722">
        <v>8697268</v>
      </c>
      <c r="AH7" s="723">
        <v>8.3699999999999992</v>
      </c>
      <c r="AI7" s="722">
        <v>8700823</v>
      </c>
      <c r="AJ7" s="723">
        <v>8.3699999999999992</v>
      </c>
      <c r="AK7" s="722">
        <v>8704457</v>
      </c>
      <c r="AL7" s="723">
        <v>8.3699999999999992</v>
      </c>
      <c r="AM7" s="722">
        <v>8708012</v>
      </c>
      <c r="AN7" s="723">
        <v>8.3800000000000008</v>
      </c>
      <c r="AO7" s="722">
        <v>8718835</v>
      </c>
      <c r="AP7" s="723">
        <v>8.3800000000000008</v>
      </c>
      <c r="AQ7" s="722">
        <v>8664088</v>
      </c>
      <c r="AR7" s="723">
        <v>8.34</v>
      </c>
      <c r="AS7" s="747">
        <v>8668512</v>
      </c>
      <c r="AT7" s="723">
        <v>8.33</v>
      </c>
    </row>
    <row r="8" spans="1:46">
      <c r="A8" s="418" t="s">
        <v>119</v>
      </c>
      <c r="B8" s="58" t="s">
        <v>15</v>
      </c>
      <c r="C8" s="693">
        <v>5166562.5</v>
      </c>
      <c r="D8" s="694">
        <v>4.97</v>
      </c>
      <c r="E8" s="637">
        <v>5066903.66</v>
      </c>
      <c r="F8" s="638">
        <v>4.88</v>
      </c>
      <c r="G8" s="693">
        <v>5170918.5</v>
      </c>
      <c r="H8" s="694">
        <v>5</v>
      </c>
      <c r="I8" s="693">
        <v>5173096.5</v>
      </c>
      <c r="J8" s="694">
        <v>5.01</v>
      </c>
      <c r="K8" s="693">
        <v>5179630.5</v>
      </c>
      <c r="L8" s="694">
        <v>5.01</v>
      </c>
      <c r="M8" s="693">
        <v>5186016</v>
      </c>
      <c r="N8" s="694">
        <v>5.01</v>
      </c>
      <c r="O8" s="693">
        <v>5188144.5</v>
      </c>
      <c r="P8" s="694">
        <v>5.01</v>
      </c>
      <c r="Q8" s="693">
        <v>5190322.5</v>
      </c>
      <c r="R8" s="694">
        <v>5.0199999999999996</v>
      </c>
      <c r="S8" s="693">
        <v>5192500.5</v>
      </c>
      <c r="T8" s="694">
        <v>5.01</v>
      </c>
      <c r="U8" s="693">
        <v>5126368.01</v>
      </c>
      <c r="V8" s="694">
        <v>4.95</v>
      </c>
      <c r="W8" s="693">
        <v>5243881.5</v>
      </c>
      <c r="X8" s="694">
        <v>5.0599999999999996</v>
      </c>
      <c r="Y8" s="693">
        <v>5246010</v>
      </c>
      <c r="Z8" s="694">
        <v>5.05</v>
      </c>
      <c r="AA8" s="722">
        <v>5248188</v>
      </c>
      <c r="AB8" s="721">
        <v>5.0599999999999996</v>
      </c>
      <c r="AC8" s="722">
        <v>5250366</v>
      </c>
      <c r="AD8" s="723">
        <v>5.05</v>
      </c>
      <c r="AE8" s="722">
        <v>5256850.5</v>
      </c>
      <c r="AF8" s="723">
        <v>5.05</v>
      </c>
      <c r="AG8" s="722">
        <v>5239228.5</v>
      </c>
      <c r="AH8" s="723">
        <v>5.04</v>
      </c>
      <c r="AI8" s="722">
        <v>5241406.5</v>
      </c>
      <c r="AJ8" s="723">
        <v>5.04</v>
      </c>
      <c r="AK8" s="722">
        <v>5243535</v>
      </c>
      <c r="AL8" s="723">
        <v>5.04</v>
      </c>
      <c r="AM8" s="722">
        <v>5245713</v>
      </c>
      <c r="AN8" s="723">
        <v>5.05</v>
      </c>
      <c r="AO8" s="722">
        <v>5252148</v>
      </c>
      <c r="AP8" s="723">
        <v>5.05</v>
      </c>
      <c r="AQ8" s="722">
        <v>5215171.5</v>
      </c>
      <c r="AR8" s="723">
        <v>5.0199999999999996</v>
      </c>
      <c r="AS8" s="747">
        <v>5217151.5</v>
      </c>
      <c r="AT8" s="723">
        <v>5.0199999999999996</v>
      </c>
    </row>
    <row r="9" spans="1:46" ht="16.5" thickBot="1">
      <c r="A9" s="1020" t="s">
        <v>113</v>
      </c>
      <c r="B9" s="1048"/>
      <c r="C9" s="639">
        <f t="shared" ref="C9:D9" si="0">SUM(C2:C8)</f>
        <v>51334948.460000001</v>
      </c>
      <c r="D9" s="639">
        <f t="shared" si="0"/>
        <v>49.389999999999993</v>
      </c>
      <c r="E9" s="639">
        <f t="shared" ref="E9:F9" si="1">SUM(E2:E8)</f>
        <v>51227020.819999993</v>
      </c>
      <c r="F9" s="639">
        <f t="shared" si="1"/>
        <v>49.360000000000007</v>
      </c>
      <c r="G9" s="639">
        <f t="shared" ref="G9:H9" si="2">SUM(G2:G8)</f>
        <v>51350230.609999999</v>
      </c>
      <c r="H9" s="639">
        <f t="shared" si="2"/>
        <v>49.680000000000007</v>
      </c>
      <c r="I9" s="639">
        <f t="shared" ref="I9:J9" si="3">SUM(I2:I8)</f>
        <v>51266908.189999998</v>
      </c>
      <c r="J9" s="639">
        <f t="shared" si="3"/>
        <v>49.64</v>
      </c>
      <c r="K9" s="639">
        <f t="shared" ref="K9:L9" si="4">SUM(K2:K8)</f>
        <v>51251740.269999996</v>
      </c>
      <c r="L9" s="639">
        <f t="shared" si="4"/>
        <v>49.61</v>
      </c>
      <c r="M9" s="639">
        <f t="shared" ref="M9:N9" si="5">SUM(M2:M8)</f>
        <v>51453629.310000002</v>
      </c>
      <c r="N9" s="639">
        <f t="shared" si="5"/>
        <v>49.699999999999996</v>
      </c>
      <c r="O9" s="639">
        <f t="shared" ref="O9:P9" si="6">SUM(O2:O8)</f>
        <v>51504606.949999996</v>
      </c>
      <c r="P9" s="639">
        <f t="shared" si="6"/>
        <v>49.77</v>
      </c>
      <c r="Q9" s="639">
        <f t="shared" ref="Q9:R9" si="7">SUM(Q2:Q8)</f>
        <v>51528646.450000003</v>
      </c>
      <c r="R9" s="639">
        <f t="shared" si="7"/>
        <v>49.78</v>
      </c>
      <c r="S9" s="639">
        <f t="shared" ref="S9:T9" si="8">SUM(S2:S8)</f>
        <v>51581994.07</v>
      </c>
      <c r="T9" s="639">
        <f t="shared" si="8"/>
        <v>49.79999999999999</v>
      </c>
      <c r="U9" s="639">
        <f t="shared" ref="U9:V9" si="9">SUM(U2:U8)</f>
        <v>51573130.779999994</v>
      </c>
      <c r="V9" s="639">
        <f t="shared" si="9"/>
        <v>49.79</v>
      </c>
      <c r="W9" s="639">
        <f t="shared" ref="W9:X9" si="10">SUM(W2:W8)</f>
        <v>51599599.410000004</v>
      </c>
      <c r="X9" s="639">
        <f t="shared" si="10"/>
        <v>49.8</v>
      </c>
      <c r="Y9" s="639">
        <f t="shared" ref="Y9:Z9" si="11">SUM(Y2:Y8)</f>
        <v>50977523.129999995</v>
      </c>
      <c r="Z9" s="639">
        <f t="shared" si="11"/>
        <v>49.11</v>
      </c>
      <c r="AA9" s="639">
        <f t="shared" ref="AA9:AB9" si="12">SUM(AA2:AA8)</f>
        <v>50998525.68</v>
      </c>
      <c r="AB9" s="639">
        <f t="shared" si="12"/>
        <v>49.120000000000005</v>
      </c>
      <c r="AC9" s="639">
        <f t="shared" ref="AC9:AD9" si="13">SUM(AC2:AC8)</f>
        <v>51038722.670000002</v>
      </c>
      <c r="AD9" s="639">
        <f t="shared" si="13"/>
        <v>49.129999999999995</v>
      </c>
      <c r="AE9" s="639">
        <f t="shared" ref="AE9:AF9" si="14">SUM(AE2:AE8)</f>
        <v>51153801.950000003</v>
      </c>
      <c r="AF9" s="639">
        <f t="shared" si="14"/>
        <v>49.18</v>
      </c>
      <c r="AG9" s="639">
        <f t="shared" ref="AG9:AJ9" si="15">SUM(AG2:AG8)</f>
        <v>51077091.770000003</v>
      </c>
      <c r="AH9" s="639">
        <f t="shared" si="15"/>
        <v>49.14</v>
      </c>
      <c r="AI9" s="639">
        <f t="shared" si="15"/>
        <v>51099636.910000004</v>
      </c>
      <c r="AJ9" s="639">
        <f t="shared" si="15"/>
        <v>49.14</v>
      </c>
      <c r="AK9" s="639">
        <f t="shared" ref="AK9:AL9" si="16">SUM(AK2:AK8)</f>
        <v>51132105.590000004</v>
      </c>
      <c r="AL9" s="639">
        <f t="shared" si="16"/>
        <v>49.18</v>
      </c>
      <c r="AM9" s="639">
        <f t="shared" ref="AM9:AN9" si="17">SUM(AM2:AM8)</f>
        <v>51105286.199999996</v>
      </c>
      <c r="AN9" s="639">
        <f t="shared" si="17"/>
        <v>49.17</v>
      </c>
      <c r="AO9" s="639">
        <f t="shared" ref="AO9:AP9" si="18">SUM(AO2:AO8)</f>
        <v>51179443.230000004</v>
      </c>
      <c r="AP9" s="639">
        <f t="shared" si="18"/>
        <v>49.19</v>
      </c>
      <c r="AQ9" s="639">
        <f t="shared" ref="AQ9:AR9" si="19">SUM(AQ2:AQ8)</f>
        <v>51014716.589999996</v>
      </c>
      <c r="AR9" s="639">
        <f t="shared" si="19"/>
        <v>49.11</v>
      </c>
      <c r="AS9" s="444">
        <f t="shared" ref="AS9:AT9" si="20">SUM(AS2:AS8)</f>
        <v>51039688.659999996</v>
      </c>
      <c r="AT9" s="639">
        <f t="shared" si="20"/>
        <v>49.08</v>
      </c>
    </row>
    <row r="10" spans="1:46" ht="15">
      <c r="A10" s="419" t="s">
        <v>25</v>
      </c>
      <c r="B10" s="422" t="s">
        <v>26</v>
      </c>
      <c r="C10" s="452">
        <v>3804414.78</v>
      </c>
      <c r="D10" s="448">
        <v>3.66</v>
      </c>
      <c r="E10" s="452">
        <v>3805912.5</v>
      </c>
      <c r="F10" s="448">
        <v>3.67</v>
      </c>
      <c r="G10" s="452">
        <v>3807410.6</v>
      </c>
      <c r="H10" s="448">
        <v>3.69</v>
      </c>
      <c r="I10" s="452">
        <v>3808909.09</v>
      </c>
      <c r="J10" s="448">
        <v>3.69</v>
      </c>
      <c r="K10" s="452">
        <v>3813409.07</v>
      </c>
      <c r="L10" s="448">
        <v>3.69</v>
      </c>
      <c r="M10" s="452">
        <v>3814910.21</v>
      </c>
      <c r="N10" s="448">
        <v>3.68</v>
      </c>
      <c r="O10" s="452">
        <v>3816411.71</v>
      </c>
      <c r="P10" s="448">
        <v>3.69</v>
      </c>
      <c r="Q10" s="452">
        <v>3817913.98</v>
      </c>
      <c r="R10" s="448">
        <v>3.69</v>
      </c>
      <c r="S10" s="452">
        <v>3819417.01</v>
      </c>
      <c r="T10" s="448">
        <v>3.69</v>
      </c>
      <c r="U10" s="452">
        <v>3823929.11</v>
      </c>
      <c r="V10" s="448">
        <v>3.69</v>
      </c>
      <c r="W10" s="452">
        <v>3825434.4</v>
      </c>
      <c r="X10" s="448">
        <v>3.69</v>
      </c>
      <c r="Y10" s="452">
        <v>3826940.45</v>
      </c>
      <c r="Z10" s="448">
        <v>3.69</v>
      </c>
      <c r="AA10" s="725">
        <v>3828446.88</v>
      </c>
      <c r="AB10" s="723">
        <v>3.69</v>
      </c>
      <c r="AC10" s="725">
        <v>3829953.69</v>
      </c>
      <c r="AD10" s="723">
        <v>3.69</v>
      </c>
      <c r="AE10" s="725">
        <v>3834478.28</v>
      </c>
      <c r="AF10" s="723">
        <v>3.69</v>
      </c>
      <c r="AG10" s="725">
        <v>3835987.7349999999</v>
      </c>
      <c r="AH10" s="723">
        <v>3.69</v>
      </c>
      <c r="AI10" s="725">
        <v>3837497.95</v>
      </c>
      <c r="AJ10" s="723">
        <v>3.69</v>
      </c>
      <c r="AK10" s="725">
        <v>3839008.54</v>
      </c>
      <c r="AL10" s="723">
        <v>3.6999999999999997</v>
      </c>
      <c r="AM10" s="725">
        <v>3840519.52</v>
      </c>
      <c r="AN10" s="723">
        <v>3.6999999999999997</v>
      </c>
      <c r="AO10" s="725">
        <v>3845056.6</v>
      </c>
      <c r="AP10" s="723">
        <v>3.7</v>
      </c>
      <c r="AQ10" s="725">
        <v>3846570.22</v>
      </c>
      <c r="AR10" s="723">
        <v>3.7</v>
      </c>
      <c r="AS10" s="748">
        <v>3848084.22</v>
      </c>
      <c r="AT10" s="723">
        <v>3.7</v>
      </c>
    </row>
    <row r="11" spans="1:46" ht="15">
      <c r="A11" s="419" t="s">
        <v>116</v>
      </c>
      <c r="B11" s="422" t="s">
        <v>117</v>
      </c>
      <c r="C11" s="451">
        <v>2406041.58</v>
      </c>
      <c r="D11" s="448">
        <v>2.31</v>
      </c>
      <c r="E11" s="451">
        <v>2407139.23</v>
      </c>
      <c r="F11" s="448">
        <v>2.3199999999999998</v>
      </c>
      <c r="G11" s="451">
        <v>2408237.36</v>
      </c>
      <c r="H11" s="448">
        <v>2.33</v>
      </c>
      <c r="I11" s="451">
        <v>2409336.2000000002</v>
      </c>
      <c r="J11" s="448">
        <v>2.33</v>
      </c>
      <c r="K11" s="451">
        <v>2412635.14</v>
      </c>
      <c r="L11" s="448">
        <v>2.34</v>
      </c>
      <c r="M11" s="451">
        <v>2413735.89</v>
      </c>
      <c r="N11" s="448">
        <v>2.33</v>
      </c>
      <c r="O11" s="451">
        <v>2414837.14</v>
      </c>
      <c r="P11" s="448">
        <v>2.33</v>
      </c>
      <c r="Q11" s="451">
        <v>2415938.86</v>
      </c>
      <c r="R11" s="448">
        <v>2.33</v>
      </c>
      <c r="S11" s="451">
        <v>2417041.0499999998</v>
      </c>
      <c r="T11" s="448">
        <v>2.33</v>
      </c>
      <c r="U11" s="451">
        <v>2420350.52</v>
      </c>
      <c r="V11" s="448">
        <v>2.33</v>
      </c>
      <c r="W11" s="451">
        <v>2421454.87</v>
      </c>
      <c r="X11" s="448">
        <v>2.33</v>
      </c>
      <c r="Y11" s="451">
        <v>2422559.46</v>
      </c>
      <c r="Z11" s="448">
        <v>2.33</v>
      </c>
      <c r="AA11" s="725">
        <v>2423664.77</v>
      </c>
      <c r="AB11" s="723">
        <v>2.33</v>
      </c>
      <c r="AC11" s="725">
        <v>2424770.5600000001</v>
      </c>
      <c r="AD11" s="723">
        <v>2.33</v>
      </c>
      <c r="AE11" s="725">
        <v>2428090.56</v>
      </c>
      <c r="AF11" s="723">
        <v>2.33</v>
      </c>
      <c r="AG11" s="725">
        <v>2429198.5032000002</v>
      </c>
      <c r="AH11" s="723">
        <v>2.33</v>
      </c>
      <c r="AI11" s="725">
        <v>2430306.69</v>
      </c>
      <c r="AJ11" s="723">
        <v>2.34</v>
      </c>
      <c r="AK11" s="725">
        <v>2431415.35</v>
      </c>
      <c r="AL11" s="723">
        <v>2.34</v>
      </c>
      <c r="AM11" s="725">
        <v>2432524.73</v>
      </c>
      <c r="AN11" s="723">
        <v>2.34</v>
      </c>
      <c r="AO11" s="725">
        <v>2435855.4900000002</v>
      </c>
      <c r="AP11" s="723">
        <v>2.34</v>
      </c>
      <c r="AQ11" s="725">
        <v>2436966.79</v>
      </c>
      <c r="AR11" s="723">
        <v>2.35</v>
      </c>
      <c r="AS11" s="748">
        <v>2438078.56</v>
      </c>
      <c r="AT11" s="723">
        <v>2.34</v>
      </c>
    </row>
    <row r="12" spans="1:46" ht="15">
      <c r="A12" s="497"/>
      <c r="B12" s="498"/>
      <c r="C12" s="451">
        <v>0</v>
      </c>
      <c r="D12" s="449">
        <v>0</v>
      </c>
      <c r="E12" s="451">
        <v>0</v>
      </c>
      <c r="F12" s="449">
        <v>0</v>
      </c>
      <c r="G12" s="451">
        <v>0</v>
      </c>
      <c r="H12" s="449">
        <v>0</v>
      </c>
      <c r="I12" s="451">
        <v>0</v>
      </c>
      <c r="J12" s="449">
        <v>0</v>
      </c>
      <c r="K12" s="451">
        <v>0</v>
      </c>
      <c r="L12" s="449">
        <v>0</v>
      </c>
      <c r="M12" s="451">
        <v>0</v>
      </c>
      <c r="N12" s="449">
        <v>0</v>
      </c>
      <c r="O12" s="451">
        <v>0</v>
      </c>
      <c r="P12" s="449">
        <v>0</v>
      </c>
      <c r="Q12" s="451">
        <v>0</v>
      </c>
      <c r="R12" s="449">
        <v>0</v>
      </c>
      <c r="S12" s="451">
        <v>0</v>
      </c>
      <c r="T12" s="449">
        <v>0</v>
      </c>
      <c r="U12" s="451">
        <v>0</v>
      </c>
      <c r="V12" s="449">
        <v>0</v>
      </c>
      <c r="W12" s="451">
        <v>0</v>
      </c>
      <c r="X12" s="449">
        <v>0</v>
      </c>
      <c r="Y12" s="451">
        <v>0</v>
      </c>
      <c r="Z12" s="449">
        <v>0</v>
      </c>
      <c r="AA12" s="725">
        <v>0</v>
      </c>
      <c r="AB12" s="723">
        <v>0</v>
      </c>
      <c r="AC12" s="725">
        <v>0</v>
      </c>
      <c r="AD12" s="723">
        <v>0</v>
      </c>
      <c r="AE12" s="725">
        <v>0</v>
      </c>
      <c r="AF12" s="723">
        <v>0</v>
      </c>
      <c r="AG12" s="725">
        <v>0</v>
      </c>
      <c r="AH12" s="723">
        <v>0</v>
      </c>
      <c r="AI12" s="725">
        <v>0</v>
      </c>
      <c r="AJ12" s="723">
        <v>0</v>
      </c>
      <c r="AK12" s="725">
        <v>0</v>
      </c>
      <c r="AL12" s="723">
        <v>0</v>
      </c>
      <c r="AM12" s="725">
        <v>0</v>
      </c>
      <c r="AN12" s="723">
        <v>0</v>
      </c>
      <c r="AO12" s="725">
        <v>0</v>
      </c>
      <c r="AP12" s="723">
        <v>0</v>
      </c>
      <c r="AQ12" s="725">
        <v>0</v>
      </c>
      <c r="AR12" s="723">
        <v>0</v>
      </c>
      <c r="AS12" s="748">
        <v>0</v>
      </c>
      <c r="AT12" s="723">
        <v>0</v>
      </c>
    </row>
    <row r="13" spans="1:46" ht="15">
      <c r="A13" s="420" t="s">
        <v>38</v>
      </c>
      <c r="B13" s="420" t="s">
        <v>39</v>
      </c>
      <c r="C13" s="450">
        <v>4163420</v>
      </c>
      <c r="D13" s="449">
        <v>4.01</v>
      </c>
      <c r="E13" s="450">
        <v>4165429.2</v>
      </c>
      <c r="F13" s="449">
        <v>4.01</v>
      </c>
      <c r="G13" s="450">
        <v>4167439.2</v>
      </c>
      <c r="H13" s="449">
        <v>4.03</v>
      </c>
      <c r="I13" s="450">
        <v>4169450.4</v>
      </c>
      <c r="J13" s="449">
        <v>4.04</v>
      </c>
      <c r="K13" s="450">
        <v>4175489.2</v>
      </c>
      <c r="L13" s="449">
        <v>4.04</v>
      </c>
      <c r="M13" s="450">
        <v>4177504</v>
      </c>
      <c r="N13" s="449">
        <v>4.04</v>
      </c>
      <c r="O13" s="450">
        <v>4000000</v>
      </c>
      <c r="P13" s="449">
        <v>3.87</v>
      </c>
      <c r="Q13" s="450">
        <v>4001719.6</v>
      </c>
      <c r="R13" s="449">
        <v>3.87</v>
      </c>
      <c r="S13" s="450">
        <v>4003440</v>
      </c>
      <c r="T13" s="449">
        <v>3.87</v>
      </c>
      <c r="U13" s="450">
        <v>4008606</v>
      </c>
      <c r="V13" s="449">
        <v>3.87</v>
      </c>
      <c r="W13" s="450">
        <v>4010329.2</v>
      </c>
      <c r="X13" s="449">
        <v>3.87</v>
      </c>
      <c r="Y13" s="450">
        <v>4012053.6</v>
      </c>
      <c r="Z13" s="449">
        <v>3.87</v>
      </c>
      <c r="AA13" s="725">
        <v>4013778.4</v>
      </c>
      <c r="AB13" s="724">
        <v>3.87</v>
      </c>
      <c r="AC13" s="725">
        <v>4015504</v>
      </c>
      <c r="AD13" s="724">
        <v>3.87</v>
      </c>
      <c r="AE13" s="725">
        <v>4020685.2</v>
      </c>
      <c r="AF13" s="724">
        <v>3.87</v>
      </c>
      <c r="AG13" s="725">
        <v>4022414</v>
      </c>
      <c r="AH13" s="724">
        <v>3.87</v>
      </c>
      <c r="AI13" s="725">
        <v>4024143.2</v>
      </c>
      <c r="AJ13" s="724">
        <v>3.87</v>
      </c>
      <c r="AK13" s="725">
        <v>4025873.2</v>
      </c>
      <c r="AL13" s="724">
        <v>3.87</v>
      </c>
      <c r="AM13" s="725">
        <v>4027604.4</v>
      </c>
      <c r="AN13" s="724">
        <v>3.87</v>
      </c>
      <c r="AO13" s="725">
        <v>4032801.2</v>
      </c>
      <c r="AP13" s="724">
        <v>3.88</v>
      </c>
      <c r="AQ13" s="725">
        <v>4034534.8</v>
      </c>
      <c r="AR13" s="724">
        <v>3.88</v>
      </c>
      <c r="AS13" s="748">
        <v>4036269.6</v>
      </c>
      <c r="AT13" s="724">
        <v>3.88</v>
      </c>
    </row>
    <row r="14" spans="1:46" thickBot="1">
      <c r="A14" s="421" t="s">
        <v>98</v>
      </c>
      <c r="B14" s="421" t="s">
        <v>99</v>
      </c>
      <c r="C14" s="453">
        <v>3056345.1</v>
      </c>
      <c r="D14" s="448">
        <v>2.94</v>
      </c>
      <c r="E14" s="453">
        <v>3057699.6</v>
      </c>
      <c r="F14" s="448">
        <v>2.95</v>
      </c>
      <c r="G14" s="453">
        <v>3059054.4</v>
      </c>
      <c r="H14" s="448">
        <v>2.96</v>
      </c>
      <c r="I14" s="453">
        <v>3060410.1</v>
      </c>
      <c r="J14" s="448">
        <v>2.96</v>
      </c>
      <c r="K14" s="453">
        <v>3064480.5</v>
      </c>
      <c r="L14" s="448">
        <v>2.97</v>
      </c>
      <c r="M14" s="453">
        <v>3065838.3</v>
      </c>
      <c r="N14" s="448">
        <v>2.96</v>
      </c>
      <c r="O14" s="453">
        <v>3067197</v>
      </c>
      <c r="P14" s="448">
        <v>2.96</v>
      </c>
      <c r="Q14" s="453">
        <v>3068556</v>
      </c>
      <c r="R14" s="448">
        <v>2.96</v>
      </c>
      <c r="S14" s="453">
        <v>3069915.9</v>
      </c>
      <c r="T14" s="448">
        <v>2.96</v>
      </c>
      <c r="U14" s="453">
        <v>3073998.9</v>
      </c>
      <c r="V14" s="448">
        <v>2.97</v>
      </c>
      <c r="W14" s="453">
        <v>3075360.9</v>
      </c>
      <c r="X14" s="448">
        <v>2.97</v>
      </c>
      <c r="Y14" s="453">
        <v>3076723.8</v>
      </c>
      <c r="Z14" s="448">
        <v>2.96</v>
      </c>
      <c r="AA14" s="725">
        <v>3078087.3</v>
      </c>
      <c r="AB14" s="723">
        <v>2.96</v>
      </c>
      <c r="AC14" s="725">
        <v>3079451.1</v>
      </c>
      <c r="AD14" s="723">
        <v>2.96</v>
      </c>
      <c r="AE14" s="725">
        <v>3083547</v>
      </c>
      <c r="AF14" s="723">
        <v>2.96</v>
      </c>
      <c r="AG14" s="725">
        <v>3084913.2</v>
      </c>
      <c r="AH14" s="723">
        <v>2.97</v>
      </c>
      <c r="AI14" s="725">
        <v>3086280.3</v>
      </c>
      <c r="AJ14" s="723">
        <v>2.97</v>
      </c>
      <c r="AK14" s="725">
        <v>3087648</v>
      </c>
      <c r="AL14" s="723">
        <v>2.97</v>
      </c>
      <c r="AM14" s="725">
        <v>3089016.3</v>
      </c>
      <c r="AN14" s="723">
        <v>2.97</v>
      </c>
      <c r="AO14" s="725">
        <v>3093124.5</v>
      </c>
      <c r="AP14" s="723">
        <v>2.97</v>
      </c>
      <c r="AQ14" s="725">
        <v>3094495.2</v>
      </c>
      <c r="AR14" s="723">
        <v>2.98</v>
      </c>
      <c r="AS14" s="748">
        <v>3095866.5</v>
      </c>
      <c r="AT14" s="723">
        <v>2.98</v>
      </c>
    </row>
    <row r="15" spans="1:46" ht="16.5" thickBot="1">
      <c r="A15" s="1022" t="s">
        <v>114</v>
      </c>
      <c r="B15" s="1047"/>
      <c r="C15" s="646">
        <f t="shared" ref="C15:D15" si="21">SUM(C10:C14)</f>
        <v>13430221.459999999</v>
      </c>
      <c r="D15" s="646">
        <f t="shared" si="21"/>
        <v>12.92</v>
      </c>
      <c r="E15" s="646">
        <f t="shared" ref="E15:F15" si="22">SUM(E10:E14)</f>
        <v>13436180.529999999</v>
      </c>
      <c r="F15" s="646">
        <f t="shared" si="22"/>
        <v>12.95</v>
      </c>
      <c r="G15" s="646">
        <f t="shared" ref="G15:H15" si="23">SUM(G10:G14)</f>
        <v>13442141.560000001</v>
      </c>
      <c r="H15" s="646">
        <f t="shared" si="23"/>
        <v>13.010000000000002</v>
      </c>
      <c r="I15" s="646">
        <f t="shared" ref="I15:J15" si="24">SUM(I10:I14)</f>
        <v>13448105.789999999</v>
      </c>
      <c r="J15" s="646">
        <f t="shared" si="24"/>
        <v>13.02</v>
      </c>
      <c r="K15" s="646">
        <f t="shared" ref="K15:L15" si="25">SUM(K10:K14)</f>
        <v>13466013.91</v>
      </c>
      <c r="L15" s="646">
        <f t="shared" si="25"/>
        <v>13.040000000000001</v>
      </c>
      <c r="M15" s="646">
        <f t="shared" ref="M15:N15" si="26">SUM(M10:M14)</f>
        <v>13471988.399999999</v>
      </c>
      <c r="N15" s="646">
        <f t="shared" si="26"/>
        <v>13.010000000000002</v>
      </c>
      <c r="O15" s="646">
        <f t="shared" ref="O15:P15" si="27">SUM(O10:O14)</f>
        <v>13298445.85</v>
      </c>
      <c r="P15" s="646">
        <f t="shared" si="27"/>
        <v>12.850000000000001</v>
      </c>
      <c r="Q15" s="646">
        <f t="shared" ref="Q15:R15" si="28">SUM(Q10:Q14)</f>
        <v>13304128.439999999</v>
      </c>
      <c r="R15" s="646">
        <f t="shared" si="28"/>
        <v>12.850000000000001</v>
      </c>
      <c r="S15" s="646">
        <f t="shared" ref="S15:T15" si="29">SUM(S10:S14)</f>
        <v>13309813.959999999</v>
      </c>
      <c r="T15" s="646">
        <f t="shared" si="29"/>
        <v>12.850000000000001</v>
      </c>
      <c r="U15" s="646">
        <f t="shared" ref="U15:V15" si="30">SUM(U10:U14)</f>
        <v>13326884.529999999</v>
      </c>
      <c r="V15" s="646">
        <f t="shared" si="30"/>
        <v>12.860000000000001</v>
      </c>
      <c r="W15" s="646">
        <f t="shared" ref="W15:X15" si="31">SUM(W10:W14)</f>
        <v>13332579.369999999</v>
      </c>
      <c r="X15" s="646">
        <f t="shared" si="31"/>
        <v>12.860000000000001</v>
      </c>
      <c r="Y15" s="646">
        <f t="shared" ref="Y15:Z15" si="32">SUM(Y10:Y14)</f>
        <v>13338277.309999999</v>
      </c>
      <c r="Z15" s="646">
        <f t="shared" si="32"/>
        <v>12.850000000000001</v>
      </c>
      <c r="AA15" s="646">
        <f t="shared" ref="AA15:AB15" si="33">SUM(AA10:AA14)</f>
        <v>13343977.350000001</v>
      </c>
      <c r="AB15" s="646">
        <f t="shared" si="33"/>
        <v>12.850000000000001</v>
      </c>
      <c r="AC15" s="646">
        <f t="shared" ref="AC15:AD15" si="34">SUM(AC10:AC14)</f>
        <v>13349679.35</v>
      </c>
      <c r="AD15" s="646">
        <f t="shared" si="34"/>
        <v>12.850000000000001</v>
      </c>
      <c r="AE15" s="646">
        <f t="shared" ref="AE15:AF15" si="35">SUM(AE10:AE14)</f>
        <v>13366801.039999999</v>
      </c>
      <c r="AF15" s="646">
        <f t="shared" si="35"/>
        <v>12.850000000000001</v>
      </c>
      <c r="AG15" s="646">
        <f t="shared" ref="AG15:AJ15" si="36">SUM(AG10:AG14)</f>
        <v>13372513.438200001</v>
      </c>
      <c r="AH15" s="646">
        <f t="shared" si="36"/>
        <v>12.860000000000001</v>
      </c>
      <c r="AI15" s="646">
        <f t="shared" si="36"/>
        <v>13378228.140000001</v>
      </c>
      <c r="AJ15" s="646">
        <f t="shared" si="36"/>
        <v>12.87</v>
      </c>
      <c r="AK15" s="646">
        <f t="shared" ref="AK15:AL15" si="37">SUM(AK10:AK14)</f>
        <v>13383945.09</v>
      </c>
      <c r="AL15" s="646">
        <f t="shared" si="37"/>
        <v>12.88</v>
      </c>
      <c r="AM15" s="646">
        <f t="shared" ref="AM15:AN15" si="38">SUM(AM10:AM14)</f>
        <v>13389664.949999999</v>
      </c>
      <c r="AN15" s="646">
        <f t="shared" si="38"/>
        <v>12.88</v>
      </c>
      <c r="AO15" s="646">
        <f t="shared" ref="AO15:AP15" si="39">SUM(AO10:AO14)</f>
        <v>13406837.789999999</v>
      </c>
      <c r="AP15" s="646">
        <f t="shared" si="39"/>
        <v>12.89</v>
      </c>
      <c r="AQ15" s="646">
        <f t="shared" ref="AQ15:AR15" si="40">SUM(AQ10:AQ14)</f>
        <v>13412567.009999998</v>
      </c>
      <c r="AR15" s="646">
        <f t="shared" si="40"/>
        <v>12.91</v>
      </c>
      <c r="AS15" s="598">
        <f t="shared" ref="AS15:AT15" si="41">SUM(AS10:AS14)</f>
        <v>13418298.880000001</v>
      </c>
      <c r="AT15" s="646">
        <f t="shared" si="41"/>
        <v>12.9</v>
      </c>
    </row>
    <row r="16" spans="1:46" ht="31.5">
      <c r="A16" s="77" t="s">
        <v>41</v>
      </c>
      <c r="B16" s="78" t="s">
        <v>42</v>
      </c>
      <c r="C16" s="647"/>
      <c r="D16" s="648"/>
      <c r="E16" s="647"/>
      <c r="F16" s="648"/>
      <c r="G16" s="647"/>
      <c r="H16" s="648"/>
      <c r="I16" s="647"/>
      <c r="J16" s="648"/>
      <c r="K16" s="647"/>
      <c r="L16" s="648"/>
      <c r="M16" s="647"/>
      <c r="N16" s="648"/>
      <c r="O16" s="647"/>
      <c r="P16" s="648"/>
      <c r="Q16" s="647"/>
      <c r="R16" s="648"/>
      <c r="S16" s="647"/>
      <c r="T16" s="648"/>
      <c r="U16" s="647"/>
      <c r="V16" s="648"/>
      <c r="W16" s="647"/>
      <c r="X16" s="648"/>
      <c r="Y16" s="647"/>
      <c r="Z16" s="648"/>
      <c r="AA16" s="647"/>
      <c r="AB16" s="648"/>
      <c r="AC16" s="647"/>
      <c r="AD16" s="648"/>
      <c r="AE16" s="647"/>
      <c r="AF16" s="648"/>
      <c r="AG16" s="647"/>
      <c r="AH16" s="648"/>
      <c r="AI16" s="647"/>
      <c r="AJ16" s="648"/>
      <c r="AK16" s="647"/>
      <c r="AL16" s="648"/>
      <c r="AM16" s="647"/>
      <c r="AN16" s="648"/>
      <c r="AO16" s="647"/>
      <c r="AP16" s="648"/>
      <c r="AQ16" s="647"/>
      <c r="AR16" s="648"/>
      <c r="AS16" s="599"/>
      <c r="AT16" s="648"/>
    </row>
    <row r="17" spans="1:46" ht="16.5" thickBot="1">
      <c r="A17" s="460">
        <v>22048622</v>
      </c>
      <c r="B17" s="461" t="s">
        <v>121</v>
      </c>
      <c r="C17" s="649">
        <v>1706400</v>
      </c>
      <c r="D17" s="648">
        <v>1.65</v>
      </c>
      <c r="E17" s="649">
        <v>1706400</v>
      </c>
      <c r="F17" s="648">
        <v>1.65</v>
      </c>
      <c r="G17" s="649">
        <v>1706400</v>
      </c>
      <c r="H17" s="648">
        <v>1.65</v>
      </c>
      <c r="I17" s="649">
        <v>1706400</v>
      </c>
      <c r="J17" s="648">
        <v>1.65</v>
      </c>
      <c r="K17" s="649">
        <v>1706400</v>
      </c>
      <c r="L17" s="648">
        <v>1.65</v>
      </c>
      <c r="M17" s="649">
        <v>1706400</v>
      </c>
      <c r="N17" s="648">
        <v>1.65</v>
      </c>
      <c r="O17" s="649">
        <v>1706400</v>
      </c>
      <c r="P17" s="648">
        <v>1.65</v>
      </c>
      <c r="Q17" s="649">
        <v>1706400</v>
      </c>
      <c r="R17" s="648">
        <v>1.65</v>
      </c>
      <c r="S17" s="649">
        <v>1706400</v>
      </c>
      <c r="T17" s="648">
        <v>1.64</v>
      </c>
      <c r="U17" s="649">
        <v>1706400</v>
      </c>
      <c r="V17" s="648">
        <v>1.64</v>
      </c>
      <c r="W17" s="649">
        <v>1706400</v>
      </c>
      <c r="X17" s="648">
        <v>1.65</v>
      </c>
      <c r="Y17" s="649">
        <v>1706400</v>
      </c>
      <c r="Z17" s="648">
        <v>1.64</v>
      </c>
      <c r="AA17" s="649">
        <v>1706400</v>
      </c>
      <c r="AB17" s="648">
        <v>1.64</v>
      </c>
      <c r="AC17" s="649">
        <v>1706400</v>
      </c>
      <c r="AD17" s="648">
        <v>1.64</v>
      </c>
      <c r="AE17" s="649">
        <v>1706400</v>
      </c>
      <c r="AF17" s="648">
        <v>1.64</v>
      </c>
      <c r="AG17" s="649">
        <v>1706400</v>
      </c>
      <c r="AH17" s="648">
        <v>1.64</v>
      </c>
      <c r="AI17" s="649">
        <v>1706400</v>
      </c>
      <c r="AJ17" s="648">
        <v>1.64</v>
      </c>
      <c r="AK17" s="649">
        <v>1706400</v>
      </c>
      <c r="AL17" s="648">
        <v>1.64</v>
      </c>
      <c r="AM17" s="649">
        <v>1706400</v>
      </c>
      <c r="AN17" s="648">
        <v>1.64</v>
      </c>
      <c r="AO17" s="649">
        <v>1706400</v>
      </c>
      <c r="AP17" s="648">
        <v>1.64</v>
      </c>
      <c r="AQ17" s="649">
        <v>1706400</v>
      </c>
      <c r="AR17" s="648">
        <v>1.64</v>
      </c>
      <c r="AS17" s="600">
        <v>1706400</v>
      </c>
      <c r="AT17" s="648">
        <v>1.64</v>
      </c>
    </row>
    <row r="18" spans="1:46" ht="16.5" thickBot="1">
      <c r="A18" s="1039" t="s">
        <v>112</v>
      </c>
      <c r="B18" s="1039"/>
      <c r="C18" s="650">
        <f>SUM(C16:C17)</f>
        <v>1706400</v>
      </c>
      <c r="D18" s="650">
        <f>D17</f>
        <v>1.65</v>
      </c>
      <c r="E18" s="650">
        <f>SUM(E16:E17)</f>
        <v>1706400</v>
      </c>
      <c r="F18" s="650">
        <f>F17</f>
        <v>1.65</v>
      </c>
      <c r="G18" s="650">
        <f>SUM(G16:G17)</f>
        <v>1706400</v>
      </c>
      <c r="H18" s="650">
        <f>H17</f>
        <v>1.65</v>
      </c>
      <c r="I18" s="650">
        <f>SUM(I16:I17)</f>
        <v>1706400</v>
      </c>
      <c r="J18" s="650">
        <f>J17</f>
        <v>1.65</v>
      </c>
      <c r="K18" s="650">
        <f>SUM(K16:K17)</f>
        <v>1706400</v>
      </c>
      <c r="L18" s="650">
        <f>L17</f>
        <v>1.65</v>
      </c>
      <c r="M18" s="650">
        <f>SUM(M16:M17)</f>
        <v>1706400</v>
      </c>
      <c r="N18" s="650">
        <f>N17</f>
        <v>1.65</v>
      </c>
      <c r="O18" s="650">
        <f>SUM(O16:O17)</f>
        <v>1706400</v>
      </c>
      <c r="P18" s="650">
        <f>P17</f>
        <v>1.65</v>
      </c>
      <c r="Q18" s="650">
        <f>SUM(Q16:Q17)</f>
        <v>1706400</v>
      </c>
      <c r="R18" s="650">
        <f>R17</f>
        <v>1.65</v>
      </c>
      <c r="S18" s="650">
        <f>SUM(S16:S17)</f>
        <v>1706400</v>
      </c>
      <c r="T18" s="650">
        <f>T17</f>
        <v>1.64</v>
      </c>
      <c r="U18" s="650">
        <f>SUM(U16:U17)</f>
        <v>1706400</v>
      </c>
      <c r="V18" s="650">
        <f>V17</f>
        <v>1.64</v>
      </c>
      <c r="W18" s="650">
        <f>SUM(W16:W17)</f>
        <v>1706400</v>
      </c>
      <c r="X18" s="650">
        <f>X17</f>
        <v>1.65</v>
      </c>
      <c r="Y18" s="650">
        <f>SUM(Y16:Y17)</f>
        <v>1706400</v>
      </c>
      <c r="Z18" s="650">
        <f>Z17</f>
        <v>1.64</v>
      </c>
      <c r="AA18" s="650">
        <f>SUM(AA16:AA17)</f>
        <v>1706400</v>
      </c>
      <c r="AB18" s="650">
        <f>AB17</f>
        <v>1.64</v>
      </c>
      <c r="AC18" s="650">
        <f>SUM(AC16:AC17)</f>
        <v>1706400</v>
      </c>
      <c r="AD18" s="650">
        <f>AD17</f>
        <v>1.64</v>
      </c>
      <c r="AE18" s="650">
        <f>SUM(AE16:AE17)</f>
        <v>1706400</v>
      </c>
      <c r="AF18" s="650">
        <f>AF17</f>
        <v>1.64</v>
      </c>
      <c r="AG18" s="650">
        <f>SUM(AG16:AG17)</f>
        <v>1706400</v>
      </c>
      <c r="AH18" s="650">
        <f>AH17</f>
        <v>1.64</v>
      </c>
      <c r="AI18" s="650">
        <f>SUM(AI16:AI17)</f>
        <v>1706400</v>
      </c>
      <c r="AJ18" s="650">
        <f>AJ17</f>
        <v>1.64</v>
      </c>
      <c r="AK18" s="650">
        <f>SUM(AK16:AK17)</f>
        <v>1706400</v>
      </c>
      <c r="AL18" s="650">
        <f>AL17</f>
        <v>1.64</v>
      </c>
      <c r="AM18" s="650">
        <f>SUM(AM16:AM17)</f>
        <v>1706400</v>
      </c>
      <c r="AN18" s="650">
        <f>AN17</f>
        <v>1.64</v>
      </c>
      <c r="AO18" s="650">
        <f>SUM(AO16:AO17)</f>
        <v>1706400</v>
      </c>
      <c r="AP18" s="650">
        <f>AP17</f>
        <v>1.64</v>
      </c>
      <c r="AQ18" s="650">
        <f>SUM(AQ16:AQ17)</f>
        <v>1706400</v>
      </c>
      <c r="AR18" s="650">
        <f>AR17</f>
        <v>1.64</v>
      </c>
      <c r="AS18" s="601">
        <f>SUM(AS16:AS17)</f>
        <v>1706400</v>
      </c>
      <c r="AT18" s="650">
        <f>AT17</f>
        <v>1.64</v>
      </c>
    </row>
    <row r="19" spans="1:46">
      <c r="A19" s="447" t="s">
        <v>106</v>
      </c>
      <c r="B19" s="446"/>
      <c r="C19" s="651">
        <v>550495</v>
      </c>
      <c r="D19" s="652">
        <v>0.53</v>
      </c>
      <c r="E19" s="651">
        <v>550495</v>
      </c>
      <c r="F19" s="652">
        <v>0.53</v>
      </c>
      <c r="G19" s="651">
        <v>550495</v>
      </c>
      <c r="H19" s="652">
        <v>0.53</v>
      </c>
      <c r="I19" s="651">
        <v>550495</v>
      </c>
      <c r="J19" s="652">
        <v>0.53</v>
      </c>
      <c r="K19" s="651">
        <v>550495</v>
      </c>
      <c r="L19" s="652">
        <v>0.53</v>
      </c>
      <c r="M19" s="651">
        <v>550495</v>
      </c>
      <c r="N19" s="652">
        <v>0.53</v>
      </c>
      <c r="O19" s="651">
        <v>550495</v>
      </c>
      <c r="P19" s="652">
        <v>0.53</v>
      </c>
      <c r="Q19" s="651">
        <v>550495</v>
      </c>
      <c r="R19" s="652">
        <v>0.53</v>
      </c>
      <c r="S19" s="651">
        <v>550495</v>
      </c>
      <c r="T19" s="652">
        <v>0.53</v>
      </c>
      <c r="U19" s="651">
        <v>550495</v>
      </c>
      <c r="V19" s="652">
        <v>0.53</v>
      </c>
      <c r="W19" s="651">
        <v>550495</v>
      </c>
      <c r="X19" s="652">
        <v>0.53</v>
      </c>
      <c r="Y19" s="651">
        <v>550495</v>
      </c>
      <c r="Z19" s="652">
        <v>0.53</v>
      </c>
      <c r="AA19" s="651">
        <v>550495</v>
      </c>
      <c r="AB19" s="726">
        <v>0.53</v>
      </c>
      <c r="AC19" s="651">
        <v>550495</v>
      </c>
      <c r="AD19" s="726">
        <v>0.53</v>
      </c>
      <c r="AE19" s="651">
        <v>550495</v>
      </c>
      <c r="AF19" s="726">
        <v>0.53</v>
      </c>
      <c r="AG19" s="651">
        <v>550495</v>
      </c>
      <c r="AH19" s="726">
        <v>0.53</v>
      </c>
      <c r="AI19" s="651">
        <v>550495</v>
      </c>
      <c r="AJ19" s="726">
        <v>0.53</v>
      </c>
      <c r="AK19" s="651">
        <v>550495</v>
      </c>
      <c r="AL19" s="726">
        <v>0.53</v>
      </c>
      <c r="AM19" s="651">
        <v>550495</v>
      </c>
      <c r="AN19" s="726">
        <v>0.53</v>
      </c>
      <c r="AO19" s="651">
        <v>550495</v>
      </c>
      <c r="AP19" s="726">
        <v>0.53</v>
      </c>
      <c r="AQ19" s="651">
        <v>550495</v>
      </c>
      <c r="AR19" s="726">
        <v>0.53</v>
      </c>
      <c r="AS19" s="602">
        <v>550495</v>
      </c>
      <c r="AT19" s="726">
        <v>0.53</v>
      </c>
    </row>
    <row r="20" spans="1:46">
      <c r="A20" s="447" t="s">
        <v>107</v>
      </c>
      <c r="B20" s="446"/>
      <c r="C20" s="653">
        <v>1188246.17</v>
      </c>
      <c r="D20" s="652">
        <v>1.1399999999999999</v>
      </c>
      <c r="E20" s="653">
        <v>1188246.17</v>
      </c>
      <c r="F20" s="652">
        <v>1.1399999999999999</v>
      </c>
      <c r="G20" s="653">
        <v>1188246.17</v>
      </c>
      <c r="H20" s="652">
        <v>1.1499999999999999</v>
      </c>
      <c r="I20" s="653">
        <v>1188246.17</v>
      </c>
      <c r="J20" s="652">
        <v>1.1499999999999999</v>
      </c>
      <c r="K20" s="653">
        <v>1188246.17</v>
      </c>
      <c r="L20" s="652">
        <v>1.1499999999999999</v>
      </c>
      <c r="M20" s="653">
        <v>1188246.17</v>
      </c>
      <c r="N20" s="652">
        <v>1.1499999999999999</v>
      </c>
      <c r="O20" s="653">
        <v>1188246.17</v>
      </c>
      <c r="P20" s="652">
        <v>1.1499999999999999</v>
      </c>
      <c r="Q20" s="653">
        <v>1188246.17</v>
      </c>
      <c r="R20" s="652">
        <v>1.1499999999999999</v>
      </c>
      <c r="S20" s="653">
        <v>1188246.17</v>
      </c>
      <c r="T20" s="652">
        <v>1.1499999999999999</v>
      </c>
      <c r="U20" s="653">
        <v>1188246.17</v>
      </c>
      <c r="V20" s="652">
        <v>1.1499999999999999</v>
      </c>
      <c r="W20" s="653">
        <v>1188246.17</v>
      </c>
      <c r="X20" s="652">
        <v>1.1499999999999999</v>
      </c>
      <c r="Y20" s="653">
        <v>1188246.17</v>
      </c>
      <c r="Z20" s="652">
        <v>1.1499999999999999</v>
      </c>
      <c r="AA20" s="653">
        <v>1188246.17</v>
      </c>
      <c r="AB20" s="727">
        <v>1.1499999999999999</v>
      </c>
      <c r="AC20" s="653">
        <v>1188246.17</v>
      </c>
      <c r="AD20" s="727">
        <v>1.1499999999999999</v>
      </c>
      <c r="AE20" s="653">
        <v>1188246.17</v>
      </c>
      <c r="AF20" s="727">
        <v>1.1399999999999999</v>
      </c>
      <c r="AG20" s="653">
        <v>1188246.17</v>
      </c>
      <c r="AH20" s="727">
        <v>1.1399999999999999</v>
      </c>
      <c r="AI20" s="653">
        <v>1188246.17</v>
      </c>
      <c r="AJ20" s="727">
        <v>1.1399999999999999</v>
      </c>
      <c r="AK20" s="653">
        <v>1188246.17</v>
      </c>
      <c r="AL20" s="727">
        <v>1.1399999999999999</v>
      </c>
      <c r="AM20" s="653">
        <v>1188246.17</v>
      </c>
      <c r="AN20" s="727">
        <v>1.1399999999999999</v>
      </c>
      <c r="AO20" s="653">
        <v>1188246.17</v>
      </c>
      <c r="AP20" s="727">
        <v>1.1399999999999999</v>
      </c>
      <c r="AQ20" s="653">
        <v>1188246.17</v>
      </c>
      <c r="AR20" s="727">
        <v>1.1399999999999999</v>
      </c>
      <c r="AS20" s="603">
        <v>1188246.17</v>
      </c>
      <c r="AT20" s="727">
        <v>1.1399999999999999</v>
      </c>
    </row>
    <row r="21" spans="1:46" ht="16.5" thickBot="1">
      <c r="A21" s="447" t="s">
        <v>108</v>
      </c>
      <c r="B21" s="446"/>
      <c r="C21" s="654">
        <v>5267242.53</v>
      </c>
      <c r="D21" s="652">
        <v>5.07</v>
      </c>
      <c r="E21" s="654">
        <v>5267242.53</v>
      </c>
      <c r="F21" s="652">
        <v>5.08</v>
      </c>
      <c r="G21" s="654">
        <v>5267242.53</v>
      </c>
      <c r="H21" s="652">
        <v>5.0999999999999996</v>
      </c>
      <c r="I21" s="654">
        <v>5267242.53</v>
      </c>
      <c r="J21" s="652">
        <v>5.0999999999999996</v>
      </c>
      <c r="K21" s="654">
        <v>5267242.53</v>
      </c>
      <c r="L21" s="652">
        <v>5.0999999999999996</v>
      </c>
      <c r="M21" s="654">
        <v>5267242.53</v>
      </c>
      <c r="N21" s="652">
        <v>5.09</v>
      </c>
      <c r="O21" s="654">
        <v>5267242.53</v>
      </c>
      <c r="P21" s="652">
        <v>5.09</v>
      </c>
      <c r="Q21" s="654">
        <v>5267242.53</v>
      </c>
      <c r="R21" s="652">
        <v>5.09</v>
      </c>
      <c r="S21" s="654">
        <v>5267242.53</v>
      </c>
      <c r="T21" s="652">
        <v>5.09</v>
      </c>
      <c r="U21" s="654">
        <v>5267242.53</v>
      </c>
      <c r="V21" s="652">
        <v>5.08</v>
      </c>
      <c r="W21" s="654">
        <v>5267242.53</v>
      </c>
      <c r="X21" s="652">
        <v>5.08</v>
      </c>
      <c r="Y21" s="654">
        <v>5267242.53</v>
      </c>
      <c r="Z21" s="652">
        <v>5.07</v>
      </c>
      <c r="AA21" s="654">
        <v>5267242.53</v>
      </c>
      <c r="AB21" s="727">
        <v>5.07</v>
      </c>
      <c r="AC21" s="654">
        <v>5267242.53</v>
      </c>
      <c r="AD21" s="727">
        <v>5.07</v>
      </c>
      <c r="AE21" s="654">
        <v>5267242.53</v>
      </c>
      <c r="AF21" s="727">
        <v>5.0599999999999996</v>
      </c>
      <c r="AG21" s="654">
        <v>5267242.53</v>
      </c>
      <c r="AH21" s="727">
        <v>5.07</v>
      </c>
      <c r="AI21" s="654">
        <v>5267242.53</v>
      </c>
      <c r="AJ21" s="727">
        <v>5.07</v>
      </c>
      <c r="AK21" s="654">
        <v>5267242.53</v>
      </c>
      <c r="AL21" s="727">
        <v>5.07</v>
      </c>
      <c r="AM21" s="654">
        <v>5267242.53</v>
      </c>
      <c r="AN21" s="727">
        <v>5.07</v>
      </c>
      <c r="AO21" s="654">
        <v>5267242.53</v>
      </c>
      <c r="AP21" s="727">
        <v>5.0599999999999996</v>
      </c>
      <c r="AQ21" s="654">
        <v>5267242.53</v>
      </c>
      <c r="AR21" s="727">
        <v>5.07</v>
      </c>
      <c r="AS21" s="604">
        <v>5267242.53</v>
      </c>
      <c r="AT21" s="727">
        <v>5.0599999999999996</v>
      </c>
    </row>
    <row r="22" spans="1:46" ht="16.5" thickBot="1">
      <c r="A22" s="1026" t="s">
        <v>111</v>
      </c>
      <c r="B22" s="1027"/>
      <c r="C22" s="650">
        <f t="shared" ref="C22:D22" si="42">SUM(C19:C21)</f>
        <v>7005983.7000000002</v>
      </c>
      <c r="D22" s="650">
        <f t="shared" si="42"/>
        <v>6.74</v>
      </c>
      <c r="E22" s="650">
        <f t="shared" ref="E22:F22" si="43">SUM(E19:E21)</f>
        <v>7005983.7000000002</v>
      </c>
      <c r="F22" s="650">
        <f t="shared" si="43"/>
        <v>6.75</v>
      </c>
      <c r="G22" s="650">
        <f t="shared" ref="G22:H22" si="44">SUM(G19:G21)</f>
        <v>7005983.7000000002</v>
      </c>
      <c r="H22" s="650">
        <f t="shared" si="44"/>
        <v>6.7799999999999994</v>
      </c>
      <c r="I22" s="650">
        <f t="shared" ref="I22:J22" si="45">SUM(I19:I21)</f>
        <v>7005983.7000000002</v>
      </c>
      <c r="J22" s="650">
        <f t="shared" si="45"/>
        <v>6.7799999999999994</v>
      </c>
      <c r="K22" s="650">
        <f t="shared" ref="K22:L22" si="46">SUM(K19:K21)</f>
        <v>7005983.7000000002</v>
      </c>
      <c r="L22" s="650">
        <f t="shared" si="46"/>
        <v>6.7799999999999994</v>
      </c>
      <c r="M22" s="650">
        <f t="shared" ref="M22:N22" si="47">SUM(M19:M21)</f>
        <v>7005983.7000000002</v>
      </c>
      <c r="N22" s="650">
        <f t="shared" si="47"/>
        <v>6.77</v>
      </c>
      <c r="O22" s="650">
        <f t="shared" ref="O22:P22" si="48">SUM(O19:O21)</f>
        <v>7005983.7000000002</v>
      </c>
      <c r="P22" s="650">
        <f t="shared" si="48"/>
        <v>6.77</v>
      </c>
      <c r="Q22" s="650">
        <f t="shared" ref="Q22:R22" si="49">SUM(Q19:Q21)</f>
        <v>7005983.7000000002</v>
      </c>
      <c r="R22" s="650">
        <f t="shared" si="49"/>
        <v>6.77</v>
      </c>
      <c r="S22" s="650">
        <f t="shared" ref="S22:T22" si="50">SUM(S19:S21)</f>
        <v>7005983.7000000002</v>
      </c>
      <c r="T22" s="650">
        <f t="shared" si="50"/>
        <v>6.77</v>
      </c>
      <c r="U22" s="650">
        <f t="shared" ref="U22:V22" si="51">SUM(U19:U21)</f>
        <v>7005983.7000000002</v>
      </c>
      <c r="V22" s="650">
        <f t="shared" si="51"/>
        <v>6.76</v>
      </c>
      <c r="W22" s="650">
        <f t="shared" ref="W22:X22" si="52">SUM(W19:W21)</f>
        <v>7005983.7000000002</v>
      </c>
      <c r="X22" s="650">
        <f t="shared" si="52"/>
        <v>6.76</v>
      </c>
      <c r="Y22" s="650">
        <f t="shared" ref="Y22:Z22" si="53">SUM(Y19:Y21)</f>
        <v>7005983.7000000002</v>
      </c>
      <c r="Z22" s="650">
        <f t="shared" si="53"/>
        <v>6.75</v>
      </c>
      <c r="AA22" s="650">
        <f t="shared" ref="AA22:AB22" si="54">SUM(AA19:AA21)</f>
        <v>7005983.7000000002</v>
      </c>
      <c r="AB22" s="650">
        <f t="shared" si="54"/>
        <v>6.75</v>
      </c>
      <c r="AC22" s="650">
        <f t="shared" ref="AC22:AD22" si="55">SUM(AC19:AC21)</f>
        <v>7005983.7000000002</v>
      </c>
      <c r="AD22" s="650">
        <f t="shared" si="55"/>
        <v>6.75</v>
      </c>
      <c r="AE22" s="650">
        <f t="shared" ref="AE22:AF22" si="56">SUM(AE19:AE21)</f>
        <v>7005983.7000000002</v>
      </c>
      <c r="AF22" s="650">
        <f t="shared" si="56"/>
        <v>6.7299999999999995</v>
      </c>
      <c r="AG22" s="650">
        <f t="shared" ref="AG22:AJ22" si="57">SUM(AG19:AG21)</f>
        <v>7005983.7000000002</v>
      </c>
      <c r="AH22" s="650">
        <f t="shared" si="57"/>
        <v>6.74</v>
      </c>
      <c r="AI22" s="650">
        <f t="shared" si="57"/>
        <v>7005983.7000000002</v>
      </c>
      <c r="AJ22" s="650">
        <f t="shared" si="57"/>
        <v>6.74</v>
      </c>
      <c r="AK22" s="650">
        <f t="shared" ref="AK22:AL22" si="58">SUM(AK19:AK21)</f>
        <v>7005983.7000000002</v>
      </c>
      <c r="AL22" s="650">
        <f t="shared" si="58"/>
        <v>6.74</v>
      </c>
      <c r="AM22" s="650">
        <f t="shared" ref="AM22:AN22" si="59">SUM(AM19:AM21)</f>
        <v>7005983.7000000002</v>
      </c>
      <c r="AN22" s="650">
        <f t="shared" si="59"/>
        <v>6.74</v>
      </c>
      <c r="AO22" s="650">
        <f t="shared" ref="AO22:AP22" si="60">SUM(AO19:AO21)</f>
        <v>7005983.7000000002</v>
      </c>
      <c r="AP22" s="650">
        <f t="shared" si="60"/>
        <v>6.7299999999999995</v>
      </c>
      <c r="AQ22" s="650">
        <f t="shared" ref="AQ22:AR22" si="61">SUM(AQ19:AQ21)</f>
        <v>7005983.7000000002</v>
      </c>
      <c r="AR22" s="650">
        <f t="shared" si="61"/>
        <v>6.74</v>
      </c>
      <c r="AS22" s="601">
        <f t="shared" ref="AS22:AT22" si="62">SUM(AS19:AS21)</f>
        <v>7005983.7000000002</v>
      </c>
      <c r="AT22" s="650">
        <f t="shared" si="62"/>
        <v>6.7299999999999995</v>
      </c>
    </row>
    <row r="23" spans="1:46" ht="15">
      <c r="A23" s="553" t="s">
        <v>45</v>
      </c>
      <c r="B23" s="478" t="s">
        <v>58</v>
      </c>
      <c r="C23" s="464">
        <v>116780.01</v>
      </c>
      <c r="D23" s="655">
        <v>0.11</v>
      </c>
      <c r="E23" s="464">
        <v>16780.009999999998</v>
      </c>
      <c r="F23" s="655">
        <v>0.02</v>
      </c>
      <c r="G23" s="464">
        <v>16780.009999999998</v>
      </c>
      <c r="H23" s="655">
        <v>0.02</v>
      </c>
      <c r="I23" s="464">
        <v>16780.009999999998</v>
      </c>
      <c r="J23" s="655">
        <v>0.02</v>
      </c>
      <c r="K23" s="464">
        <v>106555.48</v>
      </c>
      <c r="L23" s="655">
        <v>0.1</v>
      </c>
      <c r="M23" s="464">
        <v>106555.48</v>
      </c>
      <c r="N23" s="655">
        <v>0.1</v>
      </c>
      <c r="O23" s="464">
        <v>6555.48</v>
      </c>
      <c r="P23" s="655">
        <v>0.01</v>
      </c>
      <c r="Q23" s="464">
        <v>186075.48</v>
      </c>
      <c r="R23" s="655">
        <v>0.18</v>
      </c>
      <c r="S23" s="464">
        <v>186075.48</v>
      </c>
      <c r="T23" s="655">
        <v>0.18</v>
      </c>
      <c r="U23" s="464">
        <v>186075.48</v>
      </c>
      <c r="V23" s="655">
        <v>0.18</v>
      </c>
      <c r="W23" s="464">
        <v>186075.48</v>
      </c>
      <c r="X23" s="655">
        <v>0.18</v>
      </c>
      <c r="Y23" s="464">
        <v>1005934.73</v>
      </c>
      <c r="Z23" s="655">
        <v>0.97</v>
      </c>
      <c r="AA23" s="729">
        <v>5934.73</v>
      </c>
      <c r="AB23" s="731">
        <v>0.01</v>
      </c>
      <c r="AC23" s="464">
        <v>39690.129999999997</v>
      </c>
      <c r="AD23" s="731">
        <v>0.04</v>
      </c>
      <c r="AE23" s="464">
        <v>39690.129999999997</v>
      </c>
      <c r="AF23" s="731">
        <v>0.04</v>
      </c>
      <c r="AG23" s="464">
        <v>39690.129999999997</v>
      </c>
      <c r="AH23" s="731">
        <v>0.04</v>
      </c>
      <c r="AI23" s="464">
        <v>39690.129999999997</v>
      </c>
      <c r="AJ23" s="731">
        <v>0.04</v>
      </c>
      <c r="AK23" s="464">
        <v>90.13</v>
      </c>
      <c r="AL23" s="731">
        <v>0</v>
      </c>
      <c r="AM23" s="464">
        <v>90.13</v>
      </c>
      <c r="AN23" s="731">
        <v>0</v>
      </c>
      <c r="AO23" s="464">
        <v>53466.84</v>
      </c>
      <c r="AP23" s="731">
        <v>0.05</v>
      </c>
      <c r="AQ23" s="464">
        <v>53466.84</v>
      </c>
      <c r="AR23" s="731">
        <v>0.05</v>
      </c>
      <c r="AS23" s="605">
        <v>33466.839999999997</v>
      </c>
      <c r="AT23" s="731">
        <v>0.03</v>
      </c>
    </row>
    <row r="24" spans="1:46" thickBot="1">
      <c r="A24" s="553" t="s">
        <v>45</v>
      </c>
      <c r="B24" s="478" t="s">
        <v>58</v>
      </c>
      <c r="C24" s="464">
        <v>30112.240000000002</v>
      </c>
      <c r="D24" s="656">
        <v>0.03</v>
      </c>
      <c r="E24" s="482">
        <v>135813.35999999999</v>
      </c>
      <c r="F24" s="656">
        <v>0.13</v>
      </c>
      <c r="G24" s="482">
        <v>22460.11</v>
      </c>
      <c r="H24" s="656">
        <v>0.02</v>
      </c>
      <c r="I24" s="482">
        <v>22660.11</v>
      </c>
      <c r="J24" s="656">
        <v>0.02</v>
      </c>
      <c r="K24" s="464">
        <v>28973.11</v>
      </c>
      <c r="L24" s="656">
        <v>0.03</v>
      </c>
      <c r="M24" s="464">
        <v>28143.040000000001</v>
      </c>
      <c r="N24" s="656">
        <v>0.03</v>
      </c>
      <c r="O24" s="464">
        <v>26898.62</v>
      </c>
      <c r="P24" s="656">
        <v>1.9999999999999997E-2</v>
      </c>
      <c r="Q24" s="464">
        <v>26898.62</v>
      </c>
      <c r="R24" s="656">
        <v>1.9999999999999997E-2</v>
      </c>
      <c r="S24" s="464">
        <v>28023.62</v>
      </c>
      <c r="T24" s="656">
        <v>0.03</v>
      </c>
      <c r="U24" s="464">
        <v>28023.62</v>
      </c>
      <c r="V24" s="656">
        <v>0.03</v>
      </c>
      <c r="W24" s="464">
        <v>28023.62</v>
      </c>
      <c r="X24" s="656">
        <v>0.03</v>
      </c>
      <c r="Y24" s="464">
        <v>14536.13</v>
      </c>
      <c r="Z24" s="656">
        <v>0.01</v>
      </c>
      <c r="AA24" s="729">
        <v>8671.1299999999992</v>
      </c>
      <c r="AB24" s="731">
        <v>0.01</v>
      </c>
      <c r="AC24" s="464">
        <v>8671.1299999999992</v>
      </c>
      <c r="AD24" s="731">
        <v>0.01</v>
      </c>
      <c r="AE24" s="464">
        <v>8671.1299999999992</v>
      </c>
      <c r="AF24" s="731">
        <v>0.01</v>
      </c>
      <c r="AG24" s="464">
        <v>8671.1299999999992</v>
      </c>
      <c r="AH24" s="731">
        <v>0.01</v>
      </c>
      <c r="AI24" s="464">
        <v>8671.1299999999992</v>
      </c>
      <c r="AJ24" s="731">
        <v>0.01</v>
      </c>
      <c r="AK24" s="464">
        <v>22746.26</v>
      </c>
      <c r="AL24" s="731">
        <v>0.02</v>
      </c>
      <c r="AM24" s="464">
        <v>22746.26</v>
      </c>
      <c r="AN24" s="731">
        <v>0.02</v>
      </c>
      <c r="AO24" s="464">
        <v>25084.74</v>
      </c>
      <c r="AP24" s="731">
        <v>0.02</v>
      </c>
      <c r="AQ24" s="464">
        <v>25084.74</v>
      </c>
      <c r="AR24" s="731">
        <v>0.03</v>
      </c>
      <c r="AS24" s="605">
        <v>7584.74</v>
      </c>
      <c r="AT24" s="731">
        <v>0.02</v>
      </c>
    </row>
    <row r="25" spans="1:46" ht="15">
      <c r="A25" s="554" t="s">
        <v>47</v>
      </c>
      <c r="B25" s="478" t="s">
        <v>58</v>
      </c>
      <c r="C25" s="48">
        <v>3000000</v>
      </c>
      <c r="D25" s="657">
        <v>2.89</v>
      </c>
      <c r="E25" s="48">
        <v>3000000</v>
      </c>
      <c r="F25" s="657">
        <v>2.89</v>
      </c>
      <c r="G25" s="48">
        <v>3000000</v>
      </c>
      <c r="H25" s="657">
        <v>2.9</v>
      </c>
      <c r="I25" s="48">
        <v>3000000</v>
      </c>
      <c r="J25" s="657">
        <v>2.9</v>
      </c>
      <c r="K25" s="48">
        <v>3000000</v>
      </c>
      <c r="L25" s="657">
        <v>2.9</v>
      </c>
      <c r="M25" s="48">
        <v>3000000</v>
      </c>
      <c r="N25" s="657">
        <v>2.9</v>
      </c>
      <c r="O25" s="48">
        <v>3000000</v>
      </c>
      <c r="P25" s="657">
        <v>2.9</v>
      </c>
      <c r="Q25" s="48">
        <v>3000000</v>
      </c>
      <c r="R25" s="657">
        <v>2.9</v>
      </c>
      <c r="S25" s="48">
        <v>3000000</v>
      </c>
      <c r="T25" s="657">
        <v>2.89</v>
      </c>
      <c r="U25" s="48">
        <v>3000000</v>
      </c>
      <c r="V25" s="657">
        <v>2.89</v>
      </c>
      <c r="W25" s="48">
        <v>3000000</v>
      </c>
      <c r="X25" s="657">
        <v>2.89</v>
      </c>
      <c r="Y25" s="48">
        <v>3000000</v>
      </c>
      <c r="Z25" s="657">
        <v>2.8800000000000003</v>
      </c>
      <c r="AA25" s="728">
        <v>3000000</v>
      </c>
      <c r="AB25" s="731">
        <v>2.8800000000000003</v>
      </c>
      <c r="AC25" s="48">
        <v>3000000</v>
      </c>
      <c r="AD25" s="731">
        <v>2.89</v>
      </c>
      <c r="AE25" s="48">
        <v>3000000</v>
      </c>
      <c r="AF25" s="731">
        <v>2.88</v>
      </c>
      <c r="AG25" s="48">
        <v>3000000</v>
      </c>
      <c r="AH25" s="731">
        <v>2.89</v>
      </c>
      <c r="AI25" s="48">
        <v>3000000</v>
      </c>
      <c r="AJ25" s="731">
        <v>2.88</v>
      </c>
      <c r="AK25" s="48">
        <v>3000000</v>
      </c>
      <c r="AL25" s="731">
        <v>2.89</v>
      </c>
      <c r="AM25" s="48">
        <v>3000000</v>
      </c>
      <c r="AN25" s="731">
        <v>2.89</v>
      </c>
      <c r="AO25" s="48">
        <v>3000000</v>
      </c>
      <c r="AP25" s="731">
        <v>2.88</v>
      </c>
      <c r="AQ25" s="48">
        <v>3000000</v>
      </c>
      <c r="AR25" s="731">
        <v>2.89</v>
      </c>
      <c r="AS25" s="606">
        <v>3000000</v>
      </c>
      <c r="AT25" s="731">
        <v>2.88</v>
      </c>
    </row>
    <row r="26" spans="1:46" ht="15">
      <c r="A26" s="553" t="s">
        <v>47</v>
      </c>
      <c r="B26" s="478" t="s">
        <v>58</v>
      </c>
      <c r="C26" s="464">
        <v>678000</v>
      </c>
      <c r="D26" s="655">
        <v>0.65</v>
      </c>
      <c r="E26" s="464">
        <v>678000</v>
      </c>
      <c r="F26" s="655">
        <v>0.65</v>
      </c>
      <c r="G26" s="585">
        <v>278000</v>
      </c>
      <c r="H26" s="655">
        <v>0.27</v>
      </c>
      <c r="I26" s="489">
        <v>278000</v>
      </c>
      <c r="J26" s="655">
        <v>0.27</v>
      </c>
      <c r="K26" s="489">
        <v>278000</v>
      </c>
      <c r="L26" s="655">
        <v>0.27</v>
      </c>
      <c r="M26" s="489">
        <v>278000</v>
      </c>
      <c r="N26" s="655">
        <v>0.27</v>
      </c>
      <c r="O26" s="489">
        <v>278000</v>
      </c>
      <c r="P26" s="655">
        <v>0.27</v>
      </c>
      <c r="Q26" s="489">
        <v>278000</v>
      </c>
      <c r="R26" s="655">
        <v>0.27</v>
      </c>
      <c r="S26" s="489">
        <v>278000</v>
      </c>
      <c r="T26" s="655">
        <v>0.27</v>
      </c>
      <c r="U26" s="489">
        <v>278000</v>
      </c>
      <c r="V26" s="655">
        <v>0.27</v>
      </c>
      <c r="W26" s="489">
        <v>278000</v>
      </c>
      <c r="X26" s="655">
        <v>0.27</v>
      </c>
      <c r="Y26" s="489">
        <v>278000</v>
      </c>
      <c r="Z26" s="655">
        <v>0.27</v>
      </c>
      <c r="AA26" s="730">
        <v>1278000</v>
      </c>
      <c r="AB26" s="731">
        <v>1.23</v>
      </c>
      <c r="AC26" s="489">
        <v>1278000</v>
      </c>
      <c r="AD26" s="731">
        <v>1.23</v>
      </c>
      <c r="AE26" s="489">
        <v>1278000</v>
      </c>
      <c r="AF26" s="731">
        <v>1.23</v>
      </c>
      <c r="AG26" s="489">
        <v>1278000</v>
      </c>
      <c r="AH26" s="731">
        <v>1.23</v>
      </c>
      <c r="AI26" s="489">
        <v>1278000</v>
      </c>
      <c r="AJ26" s="731">
        <v>1.23</v>
      </c>
      <c r="AK26" s="489">
        <v>1278000</v>
      </c>
      <c r="AL26" s="731">
        <v>1.23</v>
      </c>
      <c r="AM26" s="489">
        <v>1278000</v>
      </c>
      <c r="AN26" s="731">
        <v>1.23</v>
      </c>
      <c r="AO26" s="489">
        <v>1278000</v>
      </c>
      <c r="AP26" s="731">
        <v>1.23</v>
      </c>
      <c r="AQ26" s="489">
        <v>1278000</v>
      </c>
      <c r="AR26" s="731">
        <v>1.23</v>
      </c>
      <c r="AS26" s="607">
        <v>1278000</v>
      </c>
      <c r="AT26" s="731">
        <v>1.23</v>
      </c>
    </row>
    <row r="27" spans="1:46" ht="15">
      <c r="A27" s="553" t="s">
        <v>47</v>
      </c>
      <c r="B27" s="478" t="s">
        <v>100</v>
      </c>
      <c r="C27" s="48">
        <v>2000000</v>
      </c>
      <c r="D27" s="657">
        <v>1.93</v>
      </c>
      <c r="E27" s="48">
        <v>2000000</v>
      </c>
      <c r="F27" s="657">
        <v>1.93</v>
      </c>
      <c r="G27" s="48">
        <v>2000000</v>
      </c>
      <c r="H27" s="657">
        <v>1.93</v>
      </c>
      <c r="I27" s="48">
        <v>2000000</v>
      </c>
      <c r="J27" s="657">
        <v>1.94</v>
      </c>
      <c r="K27" s="48">
        <v>2000000</v>
      </c>
      <c r="L27" s="657">
        <v>1.94</v>
      </c>
      <c r="M27" s="48">
        <v>2000000</v>
      </c>
      <c r="N27" s="657">
        <v>1.93</v>
      </c>
      <c r="O27" s="48">
        <v>2000000</v>
      </c>
      <c r="P27" s="657">
        <v>1.93</v>
      </c>
      <c r="Q27" s="48">
        <v>2000000</v>
      </c>
      <c r="R27" s="657">
        <v>1.93</v>
      </c>
      <c r="S27" s="48">
        <v>2000000</v>
      </c>
      <c r="T27" s="657">
        <v>1.93</v>
      </c>
      <c r="U27" s="48">
        <v>2000000</v>
      </c>
      <c r="V27" s="657">
        <v>1.93</v>
      </c>
      <c r="W27" s="48">
        <v>2000000</v>
      </c>
      <c r="X27" s="657">
        <v>1.93</v>
      </c>
      <c r="Y27" s="48">
        <v>2000000</v>
      </c>
      <c r="Z27" s="657">
        <v>1.93</v>
      </c>
      <c r="AA27" s="728">
        <v>2000000</v>
      </c>
      <c r="AB27" s="732">
        <v>1.93</v>
      </c>
      <c r="AC27" s="48">
        <v>2000000</v>
      </c>
      <c r="AD27" s="732">
        <v>1.93</v>
      </c>
      <c r="AE27" s="48">
        <v>2000000</v>
      </c>
      <c r="AF27" s="732">
        <v>1.92</v>
      </c>
      <c r="AG27" s="48">
        <v>2000000</v>
      </c>
      <c r="AH27" s="732">
        <v>1.92</v>
      </c>
      <c r="AI27" s="48">
        <v>2000000</v>
      </c>
      <c r="AJ27" s="732">
        <v>1.92</v>
      </c>
      <c r="AK27" s="48">
        <v>2000000</v>
      </c>
      <c r="AL27" s="732">
        <v>1.92</v>
      </c>
      <c r="AM27" s="48">
        <v>2000000</v>
      </c>
      <c r="AN27" s="732">
        <v>1.92</v>
      </c>
      <c r="AO27" s="48">
        <v>2000000</v>
      </c>
      <c r="AP27" s="732">
        <v>1.92</v>
      </c>
      <c r="AQ27" s="48">
        <v>2000000</v>
      </c>
      <c r="AR27" s="732">
        <v>1.93</v>
      </c>
      <c r="AS27" s="606">
        <v>2000000</v>
      </c>
      <c r="AT27" s="732">
        <v>1.92</v>
      </c>
    </row>
    <row r="28" spans="1:46" ht="15">
      <c r="A28" s="554" t="s">
        <v>47</v>
      </c>
      <c r="B28" s="478" t="s">
        <v>103</v>
      </c>
      <c r="C28" s="48">
        <v>9000000</v>
      </c>
      <c r="D28" s="657">
        <v>8.66</v>
      </c>
      <c r="E28" s="48">
        <v>9000000</v>
      </c>
      <c r="F28" s="657">
        <v>8.68</v>
      </c>
      <c r="G28" s="48">
        <v>9000000</v>
      </c>
      <c r="H28" s="657">
        <v>8.7100000000000009</v>
      </c>
      <c r="I28" s="48">
        <v>9000000</v>
      </c>
      <c r="J28" s="657">
        <v>8.7100000000000009</v>
      </c>
      <c r="K28" s="48">
        <v>9000000</v>
      </c>
      <c r="L28" s="657">
        <v>8.7100000000000009</v>
      </c>
      <c r="M28" s="48">
        <v>9000000</v>
      </c>
      <c r="N28" s="657">
        <v>8.69</v>
      </c>
      <c r="O28" s="48">
        <v>9000000</v>
      </c>
      <c r="P28" s="657">
        <v>8.6999999999999993</v>
      </c>
      <c r="Q28" s="48">
        <v>9000000</v>
      </c>
      <c r="R28" s="657">
        <v>8.69</v>
      </c>
      <c r="S28" s="48">
        <v>9000000</v>
      </c>
      <c r="T28" s="657">
        <v>8.69</v>
      </c>
      <c r="U28" s="48">
        <v>9000000</v>
      </c>
      <c r="V28" s="657">
        <v>8.69</v>
      </c>
      <c r="W28" s="48">
        <v>9000000</v>
      </c>
      <c r="X28" s="657">
        <v>8.68</v>
      </c>
      <c r="Y28" s="48">
        <v>9000000</v>
      </c>
      <c r="Z28" s="657">
        <v>8.67</v>
      </c>
      <c r="AA28" s="728">
        <v>9000000</v>
      </c>
      <c r="AB28" s="731">
        <v>8.67</v>
      </c>
      <c r="AC28" s="48">
        <v>9000000</v>
      </c>
      <c r="AD28" s="731">
        <v>8.66</v>
      </c>
      <c r="AE28" s="48">
        <v>9000000</v>
      </c>
      <c r="AF28" s="731">
        <v>8.65</v>
      </c>
      <c r="AG28" s="48">
        <v>9000000</v>
      </c>
      <c r="AH28" s="731">
        <v>8.66</v>
      </c>
      <c r="AI28" s="48">
        <v>9000000</v>
      </c>
      <c r="AJ28" s="731">
        <v>8.65</v>
      </c>
      <c r="AK28" s="48">
        <v>9000000</v>
      </c>
      <c r="AL28" s="731">
        <v>8.66</v>
      </c>
      <c r="AM28" s="48">
        <v>9000000</v>
      </c>
      <c r="AN28" s="731">
        <v>8.66</v>
      </c>
      <c r="AO28" s="48">
        <v>9000000</v>
      </c>
      <c r="AP28" s="731">
        <v>8.65</v>
      </c>
      <c r="AQ28" s="48">
        <v>9000000</v>
      </c>
      <c r="AR28" s="731">
        <v>8.66</v>
      </c>
      <c r="AS28" s="606">
        <v>9000000</v>
      </c>
      <c r="AT28" s="731">
        <v>8.65</v>
      </c>
    </row>
    <row r="29" spans="1:46" ht="15">
      <c r="A29" s="554" t="s">
        <v>47</v>
      </c>
      <c r="B29" s="478" t="s">
        <v>95</v>
      </c>
      <c r="C29" s="48">
        <v>5000000</v>
      </c>
      <c r="D29" s="657">
        <v>4.8099999999999996</v>
      </c>
      <c r="E29" s="48">
        <v>5000000</v>
      </c>
      <c r="F29" s="657">
        <v>4.82</v>
      </c>
      <c r="G29" s="48">
        <v>5000000</v>
      </c>
      <c r="H29" s="657">
        <v>4.84</v>
      </c>
      <c r="I29" s="48">
        <v>5000000</v>
      </c>
      <c r="J29" s="657">
        <v>4.84</v>
      </c>
      <c r="K29" s="48">
        <v>5000000</v>
      </c>
      <c r="L29" s="657">
        <v>4.84</v>
      </c>
      <c r="M29" s="48">
        <v>5000000</v>
      </c>
      <c r="N29" s="657">
        <v>4.83</v>
      </c>
      <c r="O29" s="48">
        <v>5000000</v>
      </c>
      <c r="P29" s="657">
        <v>4.83</v>
      </c>
      <c r="Q29" s="48">
        <v>5000000</v>
      </c>
      <c r="R29" s="657">
        <v>4.83</v>
      </c>
      <c r="S29" s="48">
        <v>5000000</v>
      </c>
      <c r="T29" s="657">
        <v>4.83</v>
      </c>
      <c r="U29" s="48">
        <v>5000000</v>
      </c>
      <c r="V29" s="657">
        <v>4.83</v>
      </c>
      <c r="W29" s="48">
        <v>5000000</v>
      </c>
      <c r="X29" s="657">
        <v>4.83</v>
      </c>
      <c r="Y29" s="48">
        <v>5000000</v>
      </c>
      <c r="Z29" s="657">
        <v>4.82</v>
      </c>
      <c r="AA29" s="728">
        <v>5000000</v>
      </c>
      <c r="AB29" s="731">
        <v>4.82</v>
      </c>
      <c r="AC29" s="48">
        <v>5000000</v>
      </c>
      <c r="AD29" s="731">
        <v>4.8099999999999996</v>
      </c>
      <c r="AE29" s="48">
        <v>5000000</v>
      </c>
      <c r="AF29" s="731">
        <v>4.8099999999999996</v>
      </c>
      <c r="AG29" s="48">
        <v>5000000</v>
      </c>
      <c r="AH29" s="731">
        <v>4.8099999999999996</v>
      </c>
      <c r="AI29" s="48">
        <v>5000000</v>
      </c>
      <c r="AJ29" s="731">
        <v>4.8099999999999996</v>
      </c>
      <c r="AK29" s="48">
        <v>5000000</v>
      </c>
      <c r="AL29" s="731">
        <v>4.8099999999999996</v>
      </c>
      <c r="AM29" s="48">
        <v>5000000</v>
      </c>
      <c r="AN29" s="731">
        <v>4.8099999999999996</v>
      </c>
      <c r="AO29" s="48">
        <v>5000000</v>
      </c>
      <c r="AP29" s="731">
        <v>4.8099999999999996</v>
      </c>
      <c r="AQ29" s="48">
        <v>5000000</v>
      </c>
      <c r="AR29" s="731">
        <v>4.8099999999999996</v>
      </c>
      <c r="AS29" s="606">
        <v>5000000</v>
      </c>
      <c r="AT29" s="731">
        <v>4.8099999999999996</v>
      </c>
    </row>
    <row r="30" spans="1:46" ht="15">
      <c r="A30" s="554" t="s">
        <v>47</v>
      </c>
      <c r="B30" s="478" t="s">
        <v>125</v>
      </c>
      <c r="C30" s="48">
        <v>4500000</v>
      </c>
      <c r="D30" s="657">
        <v>4.33</v>
      </c>
      <c r="E30" s="48">
        <v>4500000</v>
      </c>
      <c r="F30" s="657">
        <v>4.34</v>
      </c>
      <c r="G30" s="48">
        <v>4500000</v>
      </c>
      <c r="H30" s="657">
        <v>4.3499999999999996</v>
      </c>
      <c r="I30" s="48">
        <v>4500000</v>
      </c>
      <c r="J30" s="657">
        <v>4.3600000000000003</v>
      </c>
      <c r="K30" s="48">
        <v>4500000</v>
      </c>
      <c r="L30" s="657">
        <v>4.3600000000000003</v>
      </c>
      <c r="M30" s="48">
        <v>4500000</v>
      </c>
      <c r="N30" s="657">
        <v>4.3499999999999996</v>
      </c>
      <c r="O30" s="48">
        <v>4500000</v>
      </c>
      <c r="P30" s="657">
        <v>4.3499999999999996</v>
      </c>
      <c r="Q30" s="48">
        <v>4500000</v>
      </c>
      <c r="R30" s="657">
        <v>4.3499999999999996</v>
      </c>
      <c r="S30" s="48">
        <v>4500000</v>
      </c>
      <c r="T30" s="657">
        <v>4.34</v>
      </c>
      <c r="U30" s="48">
        <v>4500000</v>
      </c>
      <c r="V30" s="657">
        <v>4.34</v>
      </c>
      <c r="W30" s="48">
        <v>4500000</v>
      </c>
      <c r="X30" s="657">
        <v>4.34</v>
      </c>
      <c r="Y30" s="48">
        <v>4500000</v>
      </c>
      <c r="Z30" s="657">
        <v>4.34</v>
      </c>
      <c r="AA30" s="728">
        <v>4500000</v>
      </c>
      <c r="AB30" s="731">
        <v>4.33</v>
      </c>
      <c r="AC30" s="48">
        <v>4500000</v>
      </c>
      <c r="AD30" s="731">
        <v>4.33</v>
      </c>
      <c r="AE30" s="48">
        <v>4500000</v>
      </c>
      <c r="AF30" s="731">
        <v>4.33</v>
      </c>
      <c r="AG30" s="48">
        <v>4500000</v>
      </c>
      <c r="AH30" s="731">
        <v>4.33</v>
      </c>
      <c r="AI30" s="48">
        <v>4500000</v>
      </c>
      <c r="AJ30" s="731">
        <v>4.33</v>
      </c>
      <c r="AK30" s="48">
        <v>4500000</v>
      </c>
      <c r="AL30" s="731">
        <v>4.33</v>
      </c>
      <c r="AM30" s="48">
        <v>4500000</v>
      </c>
      <c r="AN30" s="731">
        <v>4.33</v>
      </c>
      <c r="AO30" s="48">
        <v>4500000</v>
      </c>
      <c r="AP30" s="731">
        <v>4.33</v>
      </c>
      <c r="AQ30" s="48">
        <v>4500000</v>
      </c>
      <c r="AR30" s="731">
        <v>4.33</v>
      </c>
      <c r="AS30" s="606">
        <v>4500000</v>
      </c>
      <c r="AT30" s="731">
        <v>4.33</v>
      </c>
    </row>
    <row r="31" spans="1:46" ht="15">
      <c r="A31" s="554" t="s">
        <v>47</v>
      </c>
      <c r="B31" s="478" t="s">
        <v>125</v>
      </c>
      <c r="C31" s="48">
        <v>1000000</v>
      </c>
      <c r="D31" s="657">
        <v>0.96</v>
      </c>
      <c r="E31" s="48">
        <v>1000000</v>
      </c>
      <c r="F31" s="657">
        <v>0.96</v>
      </c>
      <c r="G31" s="48">
        <v>1000000</v>
      </c>
      <c r="H31" s="657">
        <v>0.97</v>
      </c>
      <c r="I31" s="48">
        <v>1000000</v>
      </c>
      <c r="J31" s="657">
        <v>0.97</v>
      </c>
      <c r="K31" s="48">
        <v>1000000</v>
      </c>
      <c r="L31" s="657">
        <v>0.97</v>
      </c>
      <c r="M31" s="48">
        <v>1000000</v>
      </c>
      <c r="N31" s="657">
        <v>0.97</v>
      </c>
      <c r="O31" s="48">
        <v>1000000</v>
      </c>
      <c r="P31" s="657">
        <v>0.97</v>
      </c>
      <c r="Q31" s="48">
        <v>1000000</v>
      </c>
      <c r="R31" s="657">
        <v>0.97</v>
      </c>
      <c r="S31" s="48">
        <v>1000000</v>
      </c>
      <c r="T31" s="657">
        <v>0.97</v>
      </c>
      <c r="U31" s="48">
        <v>1000000</v>
      </c>
      <c r="V31" s="657">
        <v>0.97</v>
      </c>
      <c r="W31" s="48">
        <v>1000000</v>
      </c>
      <c r="X31" s="657">
        <v>0.97</v>
      </c>
      <c r="Y31" s="48">
        <v>1000000</v>
      </c>
      <c r="Z31" s="657">
        <v>0.96</v>
      </c>
      <c r="AA31" s="728">
        <v>1000000</v>
      </c>
      <c r="AB31" s="731">
        <v>0.96</v>
      </c>
      <c r="AC31" s="48">
        <v>1000000</v>
      </c>
      <c r="AD31" s="731">
        <v>0.96</v>
      </c>
      <c r="AE31" s="48">
        <v>1000000</v>
      </c>
      <c r="AF31" s="731">
        <v>0.96</v>
      </c>
      <c r="AG31" s="48">
        <v>1000000</v>
      </c>
      <c r="AH31" s="731">
        <v>0.96</v>
      </c>
      <c r="AI31" s="48">
        <v>1000000</v>
      </c>
      <c r="AJ31" s="731">
        <v>0.96</v>
      </c>
      <c r="AK31" s="48">
        <v>1000000</v>
      </c>
      <c r="AL31" s="731">
        <v>0.96</v>
      </c>
      <c r="AM31" s="48">
        <v>1000000</v>
      </c>
      <c r="AN31" s="731">
        <v>0.96</v>
      </c>
      <c r="AO31" s="48">
        <v>1000000</v>
      </c>
      <c r="AP31" s="731">
        <v>0.96</v>
      </c>
      <c r="AQ31" s="48">
        <v>1000000</v>
      </c>
      <c r="AR31" s="731">
        <v>0.96</v>
      </c>
      <c r="AS31" s="606">
        <v>1000000</v>
      </c>
      <c r="AT31" s="731">
        <v>0.96</v>
      </c>
    </row>
    <row r="32" spans="1:46" thickBot="1">
      <c r="A32" s="553" t="s">
        <v>47</v>
      </c>
      <c r="B32" s="478" t="s">
        <v>104</v>
      </c>
      <c r="C32" s="659">
        <v>0</v>
      </c>
      <c r="D32" s="659">
        <v>0</v>
      </c>
      <c r="E32" s="659">
        <v>0</v>
      </c>
      <c r="F32" s="659">
        <v>0</v>
      </c>
      <c r="G32" s="659">
        <v>0</v>
      </c>
      <c r="H32" s="659">
        <v>0</v>
      </c>
      <c r="I32" s="659">
        <v>0</v>
      </c>
      <c r="J32" s="659">
        <v>0</v>
      </c>
      <c r="K32" s="659">
        <v>0</v>
      </c>
      <c r="L32" s="659">
        <v>0</v>
      </c>
      <c r="M32" s="659">
        <v>0</v>
      </c>
      <c r="N32" s="659">
        <v>0</v>
      </c>
      <c r="O32" s="659">
        <v>0</v>
      </c>
      <c r="P32" s="659">
        <v>0</v>
      </c>
      <c r="Q32" s="659">
        <v>0</v>
      </c>
      <c r="R32" s="659">
        <v>0</v>
      </c>
      <c r="S32" s="659">
        <v>0</v>
      </c>
      <c r="T32" s="659">
        <v>0</v>
      </c>
      <c r="U32" s="659">
        <v>0</v>
      </c>
      <c r="V32" s="659">
        <v>0</v>
      </c>
      <c r="W32" s="659">
        <v>0</v>
      </c>
      <c r="X32" s="659">
        <v>0</v>
      </c>
      <c r="Y32" s="659">
        <v>0</v>
      </c>
      <c r="Z32" s="659">
        <v>0</v>
      </c>
      <c r="AA32" s="659">
        <v>0</v>
      </c>
      <c r="AB32" s="659">
        <v>0</v>
      </c>
      <c r="AC32" s="659">
        <v>0</v>
      </c>
      <c r="AD32" s="659">
        <v>0</v>
      </c>
      <c r="AE32" s="659">
        <v>0</v>
      </c>
      <c r="AF32" s="659">
        <v>0</v>
      </c>
      <c r="AG32" s="659">
        <v>0</v>
      </c>
      <c r="AH32" s="659">
        <v>0</v>
      </c>
      <c r="AI32" s="659">
        <v>0</v>
      </c>
      <c r="AJ32" s="659">
        <v>0</v>
      </c>
      <c r="AK32" s="659">
        <v>0</v>
      </c>
      <c r="AL32" s="659">
        <v>0</v>
      </c>
      <c r="AM32" s="659">
        <v>0</v>
      </c>
      <c r="AN32" s="659">
        <v>0</v>
      </c>
      <c r="AO32" s="659">
        <v>0</v>
      </c>
      <c r="AP32" s="659">
        <v>0</v>
      </c>
      <c r="AQ32" s="659">
        <v>0</v>
      </c>
      <c r="AR32" s="659">
        <v>0</v>
      </c>
      <c r="AS32" s="608">
        <v>0</v>
      </c>
      <c r="AT32" s="659">
        <v>0</v>
      </c>
    </row>
    <row r="33" spans="1:46" ht="16.5" thickBot="1">
      <c r="A33" s="1028" t="s">
        <v>111</v>
      </c>
      <c r="B33" s="1028"/>
      <c r="C33" s="650">
        <f t="shared" ref="C33:D33" si="63">SUM(C23:C32)</f>
        <v>25324892.25</v>
      </c>
      <c r="D33" s="650">
        <f t="shared" si="63"/>
        <v>24.369999999999997</v>
      </c>
      <c r="E33" s="650">
        <f t="shared" ref="E33:F33" si="64">SUM(E23:E32)</f>
        <v>25330593.370000001</v>
      </c>
      <c r="F33" s="650">
        <f t="shared" si="64"/>
        <v>24.42</v>
      </c>
      <c r="G33" s="650">
        <f t="shared" ref="G33:H33" si="65">SUM(G23:G32)</f>
        <v>24817240.120000001</v>
      </c>
      <c r="H33" s="650">
        <f t="shared" si="65"/>
        <v>24.009999999999998</v>
      </c>
      <c r="I33" s="650">
        <f t="shared" ref="I33:J33" si="66">SUM(I23:I32)</f>
        <v>24817440.120000001</v>
      </c>
      <c r="J33" s="650">
        <f t="shared" si="66"/>
        <v>24.03</v>
      </c>
      <c r="K33" s="650">
        <f t="shared" ref="K33:L33" si="67">SUM(K23:K32)</f>
        <v>24913528.59</v>
      </c>
      <c r="L33" s="650">
        <f t="shared" si="67"/>
        <v>24.119999999999997</v>
      </c>
      <c r="M33" s="650">
        <f t="shared" ref="M33:N33" si="68">SUM(M23:M32)</f>
        <v>24912698.52</v>
      </c>
      <c r="N33" s="650">
        <f t="shared" si="68"/>
        <v>24.07</v>
      </c>
      <c r="O33" s="650">
        <f t="shared" ref="O33:P33" si="69">SUM(O23:O32)</f>
        <v>24811454.100000001</v>
      </c>
      <c r="P33" s="650">
        <f t="shared" si="69"/>
        <v>23.979999999999997</v>
      </c>
      <c r="Q33" s="650">
        <f t="shared" ref="Q33:R33" si="70">SUM(Q23:Q32)</f>
        <v>24990974.100000001</v>
      </c>
      <c r="R33" s="650">
        <f t="shared" si="70"/>
        <v>24.14</v>
      </c>
      <c r="S33" s="650">
        <f t="shared" ref="S33:T33" si="71">SUM(S23:S32)</f>
        <v>24992099.100000001</v>
      </c>
      <c r="T33" s="650">
        <f t="shared" si="71"/>
        <v>24.13</v>
      </c>
      <c r="U33" s="650">
        <f t="shared" ref="U33:V33" si="72">SUM(U23:U32)</f>
        <v>24992099.100000001</v>
      </c>
      <c r="V33" s="650">
        <f t="shared" si="72"/>
        <v>24.13</v>
      </c>
      <c r="W33" s="650">
        <f t="shared" ref="W33:X33" si="73">SUM(W23:W32)</f>
        <v>24992099.100000001</v>
      </c>
      <c r="X33" s="650">
        <f t="shared" si="73"/>
        <v>24.12</v>
      </c>
      <c r="Y33" s="650">
        <f t="shared" ref="Y33:Z33" si="74">SUM(Y23:Y32)</f>
        <v>25798470.859999999</v>
      </c>
      <c r="Z33" s="650">
        <f t="shared" si="74"/>
        <v>24.85</v>
      </c>
      <c r="AA33" s="650">
        <f t="shared" ref="AA33:AB33" si="75">SUM(AA23:AA32)</f>
        <v>25792605.859999999</v>
      </c>
      <c r="AB33" s="650">
        <f t="shared" si="75"/>
        <v>24.840000000000003</v>
      </c>
      <c r="AC33" s="650">
        <f t="shared" ref="AC33:AD33" si="76">SUM(AC23:AC32)</f>
        <v>25826361.259999998</v>
      </c>
      <c r="AD33" s="650">
        <f t="shared" si="76"/>
        <v>24.86</v>
      </c>
      <c r="AE33" s="650">
        <f t="shared" ref="AE33:AF33" si="77">SUM(AE23:AE32)</f>
        <v>25826361.259999998</v>
      </c>
      <c r="AF33" s="650">
        <f t="shared" si="77"/>
        <v>24.83</v>
      </c>
      <c r="AG33" s="650">
        <f t="shared" ref="AG33:AJ33" si="78">SUM(AG23:AG32)</f>
        <v>25826361.259999998</v>
      </c>
      <c r="AH33" s="650">
        <f t="shared" si="78"/>
        <v>24.85</v>
      </c>
      <c r="AI33" s="650">
        <f t="shared" si="78"/>
        <v>25826361.259999998</v>
      </c>
      <c r="AJ33" s="650">
        <f t="shared" si="78"/>
        <v>24.83</v>
      </c>
      <c r="AK33" s="650">
        <f t="shared" ref="AK33:AL33" si="79">SUM(AK23:AK32)</f>
        <v>25800836.390000001</v>
      </c>
      <c r="AL33" s="650">
        <f t="shared" si="79"/>
        <v>24.82</v>
      </c>
      <c r="AM33" s="650">
        <f t="shared" ref="AM33:AN33" si="80">SUM(AM23:AM32)</f>
        <v>25800836.390000001</v>
      </c>
      <c r="AN33" s="650">
        <f t="shared" si="80"/>
        <v>24.82</v>
      </c>
      <c r="AO33" s="650">
        <f t="shared" ref="AO33:AP33" si="81">SUM(AO23:AO32)</f>
        <v>25856551.579999998</v>
      </c>
      <c r="AP33" s="650">
        <f t="shared" si="81"/>
        <v>24.85</v>
      </c>
      <c r="AQ33" s="650">
        <f t="shared" ref="AQ33:AR33" si="82">SUM(AQ23:AQ32)</f>
        <v>25856551.579999998</v>
      </c>
      <c r="AR33" s="650">
        <f t="shared" si="82"/>
        <v>24.89</v>
      </c>
      <c r="AS33" s="601">
        <f t="shared" ref="AS33:AT33" si="83">SUM(AS23:AS32)</f>
        <v>25819051.579999998</v>
      </c>
      <c r="AT33" s="650">
        <f t="shared" si="83"/>
        <v>24.83</v>
      </c>
    </row>
    <row r="34" spans="1:46" ht="16.5" thickBot="1">
      <c r="A34" s="1029" t="s">
        <v>48</v>
      </c>
      <c r="B34" s="1030"/>
      <c r="C34" s="660"/>
      <c r="D34" s="661"/>
      <c r="E34" s="660"/>
      <c r="F34" s="661"/>
      <c r="G34" s="660"/>
      <c r="H34" s="661"/>
      <c r="I34" s="660"/>
      <c r="J34" s="661"/>
      <c r="K34" s="660"/>
      <c r="L34" s="661"/>
      <c r="M34" s="660"/>
      <c r="N34" s="661"/>
      <c r="O34" s="660"/>
      <c r="P34" s="661"/>
      <c r="Q34" s="660"/>
      <c r="R34" s="661"/>
      <c r="S34" s="660"/>
      <c r="T34" s="661"/>
      <c r="U34" s="660"/>
      <c r="V34" s="661"/>
      <c r="W34" s="660"/>
      <c r="X34" s="661"/>
      <c r="Y34" s="660"/>
      <c r="Z34" s="661"/>
      <c r="AA34" s="660"/>
      <c r="AB34" s="661"/>
      <c r="AC34" s="660"/>
      <c r="AD34" s="661"/>
      <c r="AE34" s="660"/>
      <c r="AF34" s="661"/>
      <c r="AG34" s="660"/>
      <c r="AH34" s="661"/>
      <c r="AI34" s="660"/>
      <c r="AJ34" s="661"/>
      <c r="AK34" s="660"/>
      <c r="AL34" s="661"/>
      <c r="AM34" s="660"/>
      <c r="AN34" s="661"/>
      <c r="AO34" s="660"/>
      <c r="AP34" s="661"/>
      <c r="AQ34" s="660"/>
      <c r="AR34" s="661"/>
      <c r="AS34" s="609"/>
      <c r="AT34" s="661"/>
    </row>
    <row r="35" spans="1:46" ht="16.5" thickBot="1">
      <c r="A35" s="1031" t="s">
        <v>111</v>
      </c>
      <c r="B35" s="1031"/>
      <c r="C35" s="662"/>
      <c r="D35" s="662"/>
      <c r="E35" s="662"/>
      <c r="F35" s="662"/>
      <c r="G35" s="662"/>
      <c r="H35" s="662"/>
      <c r="I35" s="662"/>
      <c r="J35" s="662"/>
      <c r="K35" s="662"/>
      <c r="L35" s="662"/>
      <c r="M35" s="662"/>
      <c r="N35" s="662"/>
      <c r="O35" s="662"/>
      <c r="P35" s="662"/>
      <c r="Q35" s="662"/>
      <c r="R35" s="662"/>
      <c r="S35" s="662"/>
      <c r="T35" s="662"/>
      <c r="U35" s="662"/>
      <c r="V35" s="662"/>
      <c r="W35" s="662"/>
      <c r="X35" s="662"/>
      <c r="Y35" s="662"/>
      <c r="Z35" s="662"/>
      <c r="AA35" s="662"/>
      <c r="AB35" s="662"/>
      <c r="AC35" s="662"/>
      <c r="AD35" s="662"/>
      <c r="AE35" s="662"/>
      <c r="AF35" s="662"/>
      <c r="AG35" s="662"/>
      <c r="AH35" s="662"/>
      <c r="AI35" s="662"/>
      <c r="AJ35" s="662"/>
      <c r="AK35" s="662"/>
      <c r="AL35" s="662"/>
      <c r="AM35" s="662"/>
      <c r="AN35" s="662"/>
      <c r="AO35" s="662"/>
      <c r="AP35" s="662"/>
      <c r="AQ35" s="662"/>
      <c r="AR35" s="662"/>
      <c r="AS35" s="610"/>
      <c r="AT35" s="662"/>
    </row>
    <row r="36" spans="1:46">
      <c r="A36" s="114" t="s">
        <v>67</v>
      </c>
      <c r="B36" s="115" t="s">
        <v>74</v>
      </c>
      <c r="C36" s="663"/>
      <c r="D36" s="663"/>
      <c r="E36" s="663">
        <v>300</v>
      </c>
      <c r="F36" s="663"/>
      <c r="G36" s="663">
        <v>300</v>
      </c>
      <c r="H36" s="663"/>
      <c r="I36" s="663">
        <v>300</v>
      </c>
      <c r="J36" s="663"/>
      <c r="K36" s="663">
        <v>300</v>
      </c>
      <c r="L36" s="663"/>
      <c r="M36" s="663">
        <v>300</v>
      </c>
      <c r="N36" s="663"/>
      <c r="O36" s="663">
        <v>300</v>
      </c>
      <c r="P36" s="663"/>
      <c r="Q36" s="663">
        <v>300</v>
      </c>
      <c r="R36" s="663"/>
      <c r="S36" s="663">
        <v>300</v>
      </c>
      <c r="T36" s="663"/>
      <c r="U36" s="663">
        <v>300</v>
      </c>
      <c r="V36" s="663"/>
      <c r="W36" s="663">
        <v>300</v>
      </c>
      <c r="X36" s="663"/>
      <c r="Y36" s="663">
        <v>300</v>
      </c>
      <c r="Z36" s="663"/>
      <c r="AA36" s="663">
        <v>300</v>
      </c>
      <c r="AB36" s="663"/>
      <c r="AC36" s="663">
        <v>300</v>
      </c>
      <c r="AD36" s="663"/>
      <c r="AE36" s="663">
        <v>300</v>
      </c>
      <c r="AF36" s="663"/>
      <c r="AG36" s="663">
        <v>300</v>
      </c>
      <c r="AH36" s="663"/>
      <c r="AI36" s="663">
        <v>300</v>
      </c>
      <c r="AJ36" s="663"/>
      <c r="AK36" s="663">
        <v>300</v>
      </c>
      <c r="AL36" s="663"/>
      <c r="AM36" s="663">
        <v>300</v>
      </c>
      <c r="AN36" s="663"/>
      <c r="AO36" s="663">
        <v>300</v>
      </c>
      <c r="AP36" s="663"/>
      <c r="AQ36" s="663">
        <v>300</v>
      </c>
      <c r="AR36" s="663"/>
      <c r="AS36" s="611"/>
      <c r="AT36" s="663"/>
    </row>
    <row r="37" spans="1:46" ht="48" thickBot="1">
      <c r="A37" s="122" t="s">
        <v>58</v>
      </c>
      <c r="B37" s="123" t="s">
        <v>75</v>
      </c>
      <c r="C37" s="473">
        <v>77799.240000000005</v>
      </c>
      <c r="D37" s="473">
        <v>7.0000000000000007E-2</v>
      </c>
      <c r="E37" s="473">
        <v>78363.53</v>
      </c>
      <c r="F37" s="473">
        <v>0.08</v>
      </c>
      <c r="G37" s="473">
        <v>78927.81</v>
      </c>
      <c r="H37" s="473">
        <v>0.08</v>
      </c>
      <c r="I37" s="473">
        <v>79492.100000000006</v>
      </c>
      <c r="J37" s="473">
        <v>0.08</v>
      </c>
      <c r="K37" s="473">
        <v>81184.960000000006</v>
      </c>
      <c r="L37" s="473">
        <v>0.08</v>
      </c>
      <c r="M37" s="473">
        <v>81749.25</v>
      </c>
      <c r="N37" s="473">
        <v>0.08</v>
      </c>
      <c r="O37" s="473">
        <v>82313.539999999994</v>
      </c>
      <c r="P37" s="473">
        <v>0.06</v>
      </c>
      <c r="Q37" s="473">
        <v>82877.83</v>
      </c>
      <c r="R37" s="473">
        <v>0.06</v>
      </c>
      <c r="S37" s="473">
        <v>83442.11</v>
      </c>
      <c r="T37" s="473">
        <v>0.06</v>
      </c>
      <c r="U37" s="473">
        <v>85134.98</v>
      </c>
      <c r="V37" s="473">
        <v>0.06</v>
      </c>
      <c r="W37" s="473">
        <v>85699.27</v>
      </c>
      <c r="X37" s="473">
        <v>0.06</v>
      </c>
      <c r="Y37" s="473">
        <v>86263.55</v>
      </c>
      <c r="Z37" s="473">
        <v>0.06</v>
      </c>
      <c r="AA37" s="733">
        <v>86827.839999999997</v>
      </c>
      <c r="AB37" s="473">
        <v>0.06</v>
      </c>
      <c r="AC37" s="473">
        <v>87392.13</v>
      </c>
      <c r="AD37" s="473">
        <v>0.06</v>
      </c>
      <c r="AE37" s="473">
        <v>89084.99</v>
      </c>
      <c r="AF37" s="473">
        <v>0.09</v>
      </c>
      <c r="AG37" s="473">
        <v>89649.279999999999</v>
      </c>
      <c r="AH37" s="473">
        <v>0.09</v>
      </c>
      <c r="AI37" s="473">
        <v>90213.57</v>
      </c>
      <c r="AJ37" s="473">
        <v>0.09</v>
      </c>
      <c r="AK37" s="473">
        <v>90777.85</v>
      </c>
      <c r="AL37" s="473">
        <v>0.09</v>
      </c>
      <c r="AM37" s="473">
        <v>91342.14</v>
      </c>
      <c r="AN37" s="473">
        <v>0.09</v>
      </c>
      <c r="AO37" s="473">
        <v>93035.01</v>
      </c>
      <c r="AP37" s="473">
        <v>0.09</v>
      </c>
      <c r="AQ37" s="473">
        <v>93599.29</v>
      </c>
      <c r="AR37" s="473">
        <v>0.09</v>
      </c>
      <c r="AS37" s="612">
        <v>94163.58</v>
      </c>
      <c r="AT37" s="473">
        <v>0.09</v>
      </c>
    </row>
    <row r="38" spans="1:46" ht="32.25" thickBot="1">
      <c r="A38" s="122" t="s">
        <v>58</v>
      </c>
      <c r="B38" s="123" t="s">
        <v>131</v>
      </c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3"/>
      <c r="O38" s="663"/>
      <c r="P38" s="663"/>
      <c r="Q38" s="663"/>
      <c r="R38" s="663"/>
      <c r="S38" s="663"/>
      <c r="T38" s="663"/>
      <c r="U38" s="663"/>
      <c r="V38" s="663"/>
      <c r="W38" s="663"/>
      <c r="X38" s="663"/>
      <c r="Y38" s="663"/>
      <c r="Z38" s="663"/>
      <c r="AA38" s="663"/>
      <c r="AB38" s="663"/>
      <c r="AC38" s="663"/>
      <c r="AD38" s="663"/>
      <c r="AE38" s="663"/>
      <c r="AF38" s="663"/>
      <c r="AG38" s="663"/>
      <c r="AH38" s="663"/>
      <c r="AI38" s="663"/>
      <c r="AJ38" s="663"/>
      <c r="AK38" s="663"/>
      <c r="AL38" s="663"/>
      <c r="AM38" s="663"/>
      <c r="AN38" s="663"/>
      <c r="AO38" s="663"/>
      <c r="AP38" s="663"/>
      <c r="AQ38" s="663"/>
      <c r="AR38" s="663"/>
      <c r="AS38" s="619">
        <v>27.42</v>
      </c>
      <c r="AT38" s="663"/>
    </row>
    <row r="39" spans="1:46" ht="16.5" thickBot="1">
      <c r="A39" s="122" t="s">
        <v>101</v>
      </c>
      <c r="B39" s="123" t="s">
        <v>57</v>
      </c>
      <c r="C39" s="539">
        <v>1591423.36</v>
      </c>
      <c r="D39" s="667">
        <v>1.53</v>
      </c>
      <c r="E39" s="539">
        <v>1587678.83</v>
      </c>
      <c r="F39" s="667">
        <v>1.53</v>
      </c>
      <c r="G39" s="539">
        <v>1583934.31</v>
      </c>
      <c r="H39" s="667">
        <v>1.53</v>
      </c>
      <c r="I39" s="539">
        <v>1580189.78</v>
      </c>
      <c r="J39" s="667">
        <v>1.53</v>
      </c>
      <c r="K39" s="539">
        <v>1568956.2</v>
      </c>
      <c r="L39" s="667">
        <v>1.52</v>
      </c>
      <c r="M39" s="539">
        <v>1565211.68</v>
      </c>
      <c r="N39" s="667">
        <v>1.51</v>
      </c>
      <c r="O39" s="539">
        <v>1561467.15</v>
      </c>
      <c r="P39" s="667">
        <v>1.51</v>
      </c>
      <c r="Q39" s="539">
        <v>1557722.63</v>
      </c>
      <c r="R39" s="667">
        <v>1.51</v>
      </c>
      <c r="S39" s="539">
        <v>1553978.1</v>
      </c>
      <c r="T39" s="667">
        <v>1.5</v>
      </c>
      <c r="U39" s="539">
        <v>1542744.53</v>
      </c>
      <c r="V39" s="667">
        <v>1.49</v>
      </c>
      <c r="W39" s="539">
        <v>1539000</v>
      </c>
      <c r="X39" s="667">
        <v>1.49</v>
      </c>
      <c r="Y39" s="539">
        <v>1535255.47</v>
      </c>
      <c r="Z39" s="667">
        <v>1.48</v>
      </c>
      <c r="AA39" s="738">
        <v>1531510.95</v>
      </c>
      <c r="AB39" s="667">
        <v>1.47</v>
      </c>
      <c r="AC39" s="738">
        <v>1527766.42</v>
      </c>
      <c r="AD39" s="667">
        <v>1.47</v>
      </c>
      <c r="AE39" s="539">
        <v>1516532.85</v>
      </c>
      <c r="AF39" s="667">
        <v>1.46</v>
      </c>
      <c r="AG39" s="539">
        <v>1512788.32</v>
      </c>
      <c r="AH39" s="667">
        <v>1.46</v>
      </c>
      <c r="AI39" s="539">
        <v>1509043.8</v>
      </c>
      <c r="AJ39" s="667">
        <v>1.45</v>
      </c>
      <c r="AK39" s="539">
        <v>1505299.27</v>
      </c>
      <c r="AL39" s="667">
        <v>1.45</v>
      </c>
      <c r="AM39" s="539">
        <v>1501554.74</v>
      </c>
      <c r="AN39" s="667">
        <v>1.45</v>
      </c>
      <c r="AO39" s="539">
        <v>1490321.17</v>
      </c>
      <c r="AP39" s="667">
        <v>1.43</v>
      </c>
      <c r="AQ39" s="539">
        <v>1486576.6399999999</v>
      </c>
      <c r="AR39" s="667">
        <v>1.43</v>
      </c>
      <c r="AS39" s="749">
        <v>1482832.12</v>
      </c>
      <c r="AT39" s="667">
        <v>1.43</v>
      </c>
    </row>
    <row r="40" spans="1:46" ht="16.5" thickBot="1">
      <c r="A40" s="122" t="s">
        <v>29</v>
      </c>
      <c r="B40" s="123" t="s">
        <v>57</v>
      </c>
      <c r="C40" s="668"/>
      <c r="D40" s="669"/>
      <c r="E40" s="668"/>
      <c r="F40" s="669"/>
      <c r="G40" s="668"/>
      <c r="H40" s="669"/>
      <c r="I40" s="668"/>
      <c r="J40" s="669"/>
      <c r="K40" s="668"/>
      <c r="L40" s="669"/>
      <c r="M40" s="668"/>
      <c r="N40" s="669"/>
      <c r="O40" s="668"/>
      <c r="P40" s="669"/>
      <c r="Q40" s="668"/>
      <c r="R40" s="669"/>
      <c r="S40" s="668"/>
      <c r="T40" s="669"/>
      <c r="U40" s="668"/>
      <c r="V40" s="669"/>
      <c r="W40" s="668"/>
      <c r="X40" s="669"/>
      <c r="Y40" s="668"/>
      <c r="Z40" s="669"/>
      <c r="AA40" s="668"/>
      <c r="AB40" s="669"/>
      <c r="AC40" s="668"/>
      <c r="AD40" s="669"/>
      <c r="AE40" s="668"/>
      <c r="AF40" s="669"/>
      <c r="AG40" s="668"/>
      <c r="AH40" s="669"/>
      <c r="AI40" s="668"/>
      <c r="AJ40" s="669"/>
      <c r="AK40" s="668"/>
      <c r="AL40" s="669"/>
      <c r="AM40" s="668"/>
      <c r="AN40" s="669"/>
      <c r="AO40" s="668"/>
      <c r="AP40" s="669"/>
      <c r="AQ40" s="668"/>
      <c r="AR40" s="669"/>
      <c r="AS40" s="614"/>
      <c r="AT40" s="669"/>
    </row>
    <row r="41" spans="1:46" ht="16.5" thickBot="1">
      <c r="A41" s="122" t="s">
        <v>37</v>
      </c>
      <c r="B41" s="123" t="s">
        <v>57</v>
      </c>
      <c r="C41" s="668"/>
      <c r="D41" s="669"/>
      <c r="E41" s="668"/>
      <c r="F41" s="669"/>
      <c r="G41" s="668"/>
      <c r="H41" s="669"/>
      <c r="I41" s="668"/>
      <c r="J41" s="669"/>
      <c r="K41" s="668"/>
      <c r="L41" s="669"/>
      <c r="M41" s="668"/>
      <c r="N41" s="669"/>
      <c r="O41" s="668"/>
      <c r="P41" s="669"/>
      <c r="Q41" s="668"/>
      <c r="R41" s="669"/>
      <c r="S41" s="668"/>
      <c r="T41" s="669"/>
      <c r="U41" s="668"/>
      <c r="V41" s="669"/>
      <c r="W41" s="668"/>
      <c r="X41" s="669"/>
      <c r="Y41" s="668"/>
      <c r="Z41" s="669"/>
      <c r="AA41" s="668"/>
      <c r="AB41" s="669"/>
      <c r="AC41" s="668"/>
      <c r="AD41" s="669"/>
      <c r="AE41" s="668"/>
      <c r="AF41" s="669"/>
      <c r="AG41" s="668"/>
      <c r="AH41" s="669"/>
      <c r="AI41" s="668"/>
      <c r="AJ41" s="669"/>
      <c r="AK41" s="668"/>
      <c r="AL41" s="669"/>
      <c r="AM41" s="668"/>
      <c r="AN41" s="669"/>
      <c r="AO41" s="668"/>
      <c r="AP41" s="669"/>
      <c r="AQ41" s="668"/>
      <c r="AR41" s="669"/>
      <c r="AS41" s="614"/>
      <c r="AT41" s="669"/>
    </row>
    <row r="42" spans="1:46">
      <c r="A42" s="122" t="s">
        <v>68</v>
      </c>
      <c r="B42" s="123" t="s">
        <v>57</v>
      </c>
      <c r="C42" s="700">
        <v>1051216.1000000001</v>
      </c>
      <c r="D42" s="671">
        <v>1.02</v>
      </c>
      <c r="E42" s="700">
        <v>1049632.3999999999</v>
      </c>
      <c r="F42" s="671">
        <v>1.02</v>
      </c>
      <c r="G42" s="700">
        <v>1048048.7000000002</v>
      </c>
      <c r="H42" s="671">
        <v>1.02</v>
      </c>
      <c r="I42" s="700">
        <v>1046464.99</v>
      </c>
      <c r="J42" s="671">
        <v>1.01</v>
      </c>
      <c r="K42" s="700">
        <v>1041713.9</v>
      </c>
      <c r="L42" s="671">
        <v>1</v>
      </c>
      <c r="M42" s="700">
        <v>1040130.1799999999</v>
      </c>
      <c r="N42" s="671">
        <v>1.01</v>
      </c>
      <c r="O42" s="700">
        <v>1038546.4700000001</v>
      </c>
      <c r="P42" s="671">
        <v>1.01</v>
      </c>
      <c r="Q42" s="700">
        <v>1036962.7699999999</v>
      </c>
      <c r="R42" s="671">
        <v>1.01</v>
      </c>
      <c r="S42" s="700">
        <v>1035379.09</v>
      </c>
      <c r="T42" s="671">
        <v>1.01</v>
      </c>
      <c r="U42" s="700">
        <v>1030627.9800000001</v>
      </c>
      <c r="V42" s="671">
        <v>1.01</v>
      </c>
      <c r="W42" s="700">
        <v>1029044.27</v>
      </c>
      <c r="X42" s="671">
        <v>1</v>
      </c>
      <c r="Y42" s="700">
        <v>1027460.56</v>
      </c>
      <c r="Z42" s="671">
        <v>0.99</v>
      </c>
      <c r="AA42" s="739">
        <v>1025876.87</v>
      </c>
      <c r="AB42" s="671">
        <v>0.99</v>
      </c>
      <c r="AC42" s="739">
        <v>1024293.1599999999</v>
      </c>
      <c r="AD42" s="671">
        <v>0.99</v>
      </c>
      <c r="AE42" s="739">
        <v>1019542.06</v>
      </c>
      <c r="AF42" s="671">
        <v>0.98</v>
      </c>
      <c r="AG42" s="739">
        <v>1017958.3599999999</v>
      </c>
      <c r="AH42" s="671">
        <v>0.97</v>
      </c>
      <c r="AI42" s="739">
        <v>1016374.6599999999</v>
      </c>
      <c r="AJ42" s="671">
        <v>0.97</v>
      </c>
      <c r="AK42" s="739">
        <v>1014790.95</v>
      </c>
      <c r="AL42" s="671">
        <v>0.98</v>
      </c>
      <c r="AM42" s="739">
        <v>1013207.2500000001</v>
      </c>
      <c r="AN42" s="671">
        <v>0.99</v>
      </c>
      <c r="AO42" s="739">
        <v>1008456.15</v>
      </c>
      <c r="AP42" s="671">
        <v>0.99</v>
      </c>
      <c r="AQ42" s="739">
        <v>1006872.44</v>
      </c>
      <c r="AR42" s="671">
        <v>0.98</v>
      </c>
      <c r="AS42" s="750">
        <v>1005288.7400000001</v>
      </c>
      <c r="AT42" s="671">
        <v>0.98</v>
      </c>
    </row>
    <row r="43" spans="1:46">
      <c r="A43" s="129" t="s">
        <v>69</v>
      </c>
      <c r="B43" s="123" t="s">
        <v>57</v>
      </c>
      <c r="C43" s="672"/>
      <c r="D43" s="673"/>
      <c r="E43" s="672"/>
      <c r="F43" s="673"/>
      <c r="G43" s="672"/>
      <c r="H43" s="673"/>
      <c r="I43" s="672"/>
      <c r="J43" s="673"/>
      <c r="K43" s="672"/>
      <c r="L43" s="673"/>
      <c r="M43" s="672"/>
      <c r="N43" s="673"/>
      <c r="O43" s="672"/>
      <c r="P43" s="673"/>
      <c r="Q43" s="672"/>
      <c r="R43" s="673"/>
      <c r="S43" s="672"/>
      <c r="T43" s="673"/>
      <c r="U43" s="672"/>
      <c r="V43" s="673"/>
      <c r="W43" s="672"/>
      <c r="X43" s="673"/>
      <c r="Y43" s="672"/>
      <c r="Z43" s="673"/>
      <c r="AA43" s="672"/>
      <c r="AB43" s="673"/>
      <c r="AC43" s="672"/>
      <c r="AD43" s="673"/>
      <c r="AE43" s="672"/>
      <c r="AF43" s="673"/>
      <c r="AG43" s="672"/>
      <c r="AH43" s="673"/>
      <c r="AI43" s="672"/>
      <c r="AJ43" s="673"/>
      <c r="AK43" s="672"/>
      <c r="AL43" s="673"/>
      <c r="AM43" s="672"/>
      <c r="AN43" s="673"/>
      <c r="AO43" s="672"/>
      <c r="AP43" s="673"/>
      <c r="AQ43" s="672"/>
      <c r="AR43" s="673"/>
      <c r="AS43" s="616"/>
      <c r="AT43" s="673"/>
    </row>
    <row r="44" spans="1:46" ht="48" thickBot="1">
      <c r="A44" s="122" t="s">
        <v>70</v>
      </c>
      <c r="B44" s="123" t="s">
        <v>76</v>
      </c>
      <c r="C44" s="701">
        <v>2109400</v>
      </c>
      <c r="D44" s="665">
        <v>2.0299999999999998</v>
      </c>
      <c r="E44" s="574">
        <v>2009900</v>
      </c>
      <c r="F44" s="665">
        <v>1.94</v>
      </c>
      <c r="G44" s="574">
        <v>2009900</v>
      </c>
      <c r="H44" s="665">
        <v>1.94</v>
      </c>
      <c r="I44" s="574">
        <v>2009900</v>
      </c>
      <c r="J44" s="665">
        <v>1.94</v>
      </c>
      <c r="K44" s="574">
        <v>2009900</v>
      </c>
      <c r="L44" s="665">
        <v>1.94</v>
      </c>
      <c r="M44" s="574">
        <v>2009900</v>
      </c>
      <c r="N44" s="665">
        <v>1.94</v>
      </c>
      <c r="O44" s="574">
        <v>2009900</v>
      </c>
      <c r="P44" s="665">
        <v>1.94</v>
      </c>
      <c r="Q44" s="574">
        <v>2009900</v>
      </c>
      <c r="R44" s="665">
        <v>1.94</v>
      </c>
      <c r="S44" s="574">
        <v>2009900</v>
      </c>
      <c r="T44" s="665">
        <v>1.94</v>
      </c>
      <c r="U44" s="574">
        <v>2009900</v>
      </c>
      <c r="V44" s="665">
        <v>1.94</v>
      </c>
      <c r="W44" s="574">
        <v>2009900</v>
      </c>
      <c r="X44" s="665">
        <v>1.94</v>
      </c>
      <c r="Y44" s="574">
        <v>2009900</v>
      </c>
      <c r="Z44" s="665">
        <v>1.94</v>
      </c>
      <c r="AA44" s="574">
        <v>2009900</v>
      </c>
      <c r="AB44" s="665">
        <v>1.94</v>
      </c>
      <c r="AC44" s="574">
        <v>2009900</v>
      </c>
      <c r="AD44" s="665">
        <v>1.94</v>
      </c>
      <c r="AE44" s="574">
        <v>2009900</v>
      </c>
      <c r="AF44" s="665">
        <v>1.93</v>
      </c>
      <c r="AG44" s="574">
        <v>2009900</v>
      </c>
      <c r="AH44" s="665">
        <v>1.93</v>
      </c>
      <c r="AI44" s="574">
        <v>2009900</v>
      </c>
      <c r="AJ44" s="665">
        <v>1.94</v>
      </c>
      <c r="AK44" s="574">
        <v>2009900</v>
      </c>
      <c r="AL44" s="665">
        <v>1.93</v>
      </c>
      <c r="AM44" s="574">
        <v>2009900</v>
      </c>
      <c r="AN44" s="665">
        <v>1.93</v>
      </c>
      <c r="AO44" s="574">
        <v>2009900</v>
      </c>
      <c r="AP44" s="665">
        <v>1.92</v>
      </c>
      <c r="AQ44" s="574">
        <v>2009900</v>
      </c>
      <c r="AR44" s="665">
        <v>1.93</v>
      </c>
      <c r="AS44" s="617">
        <v>2009900</v>
      </c>
      <c r="AT44" s="665">
        <v>1.93</v>
      </c>
    </row>
    <row r="45" spans="1:46" ht="15">
      <c r="A45" s="696" t="s">
        <v>105</v>
      </c>
      <c r="B45" s="696" t="s">
        <v>105</v>
      </c>
      <c r="C45" s="524"/>
      <c r="D45" s="667"/>
      <c r="E45" s="524"/>
      <c r="F45" s="667"/>
      <c r="G45" s="524"/>
      <c r="H45" s="667"/>
      <c r="I45" s="524"/>
      <c r="J45" s="667"/>
      <c r="K45" s="524"/>
      <c r="L45" s="667"/>
      <c r="M45" s="524"/>
      <c r="N45" s="667"/>
      <c r="O45" s="524"/>
      <c r="P45" s="667"/>
      <c r="Q45" s="524"/>
      <c r="R45" s="667"/>
      <c r="S45" s="524"/>
      <c r="T45" s="667"/>
      <c r="U45" s="524"/>
      <c r="V45" s="667"/>
      <c r="W45" s="524"/>
      <c r="X45" s="667"/>
      <c r="Y45" s="524"/>
      <c r="Z45" s="667"/>
      <c r="AA45" s="524"/>
      <c r="AB45" s="667"/>
      <c r="AC45" s="524"/>
      <c r="AD45" s="667"/>
      <c r="AE45" s="524"/>
      <c r="AF45" s="667"/>
      <c r="AG45" s="524"/>
      <c r="AH45" s="667"/>
      <c r="AI45" s="524"/>
      <c r="AJ45" s="667"/>
      <c r="AK45" s="524"/>
      <c r="AL45" s="667"/>
      <c r="AM45" s="524"/>
      <c r="AN45" s="667"/>
      <c r="AO45" s="524"/>
      <c r="AP45" s="667"/>
      <c r="AQ45" s="524"/>
      <c r="AR45" s="667"/>
      <c r="AS45" s="621"/>
      <c r="AT45" s="667"/>
    </row>
    <row r="46" spans="1:46" ht="16.5" thickBot="1">
      <c r="A46" s="122" t="s">
        <v>49</v>
      </c>
      <c r="B46" s="123" t="s">
        <v>50</v>
      </c>
      <c r="C46" s="510">
        <v>22020.82</v>
      </c>
      <c r="D46" s="665">
        <v>0.01</v>
      </c>
      <c r="E46" s="510">
        <v>22020.82</v>
      </c>
      <c r="F46" s="665">
        <v>0.02</v>
      </c>
      <c r="G46" s="510">
        <v>22020.82</v>
      </c>
      <c r="H46" s="665">
        <v>0.02</v>
      </c>
      <c r="I46" s="510">
        <v>22020.82</v>
      </c>
      <c r="J46" s="665">
        <v>0.02</v>
      </c>
      <c r="K46" s="592">
        <v>23029.66</v>
      </c>
      <c r="L46" s="665">
        <v>0.02</v>
      </c>
      <c r="M46" s="592">
        <v>23455.43</v>
      </c>
      <c r="N46" s="665">
        <v>0.02</v>
      </c>
      <c r="O46" s="592">
        <v>23455.43</v>
      </c>
      <c r="P46" s="665">
        <v>0.02</v>
      </c>
      <c r="Q46" s="592">
        <v>23455.43</v>
      </c>
      <c r="R46" s="665">
        <v>0.02</v>
      </c>
      <c r="S46" s="592">
        <v>23455.43</v>
      </c>
      <c r="T46" s="665">
        <v>0.02</v>
      </c>
      <c r="U46" s="592">
        <v>23455.43</v>
      </c>
      <c r="V46" s="665">
        <v>0.02</v>
      </c>
      <c r="W46" s="712">
        <v>14602.93</v>
      </c>
      <c r="X46" s="665">
        <v>0.01</v>
      </c>
      <c r="Y46" s="712">
        <v>15289.73</v>
      </c>
      <c r="Z46" s="665">
        <v>0.01</v>
      </c>
      <c r="AA46" s="740">
        <v>24520</v>
      </c>
      <c r="AB46" s="665">
        <v>0.02</v>
      </c>
      <c r="AC46" s="740">
        <v>24520</v>
      </c>
      <c r="AD46" s="665">
        <v>0.02</v>
      </c>
      <c r="AE46" s="740">
        <v>24520</v>
      </c>
      <c r="AF46" s="665">
        <v>0.02</v>
      </c>
      <c r="AG46" s="740">
        <v>24520</v>
      </c>
      <c r="AH46" s="665">
        <v>0.02</v>
      </c>
      <c r="AI46" s="740">
        <v>24520</v>
      </c>
      <c r="AJ46" s="665">
        <v>0.02</v>
      </c>
      <c r="AK46" s="740">
        <v>24520</v>
      </c>
      <c r="AL46" s="665">
        <v>0.02</v>
      </c>
      <c r="AM46" s="740">
        <v>24520</v>
      </c>
      <c r="AN46" s="665">
        <v>0.02</v>
      </c>
      <c r="AO46" s="740">
        <v>24520</v>
      </c>
      <c r="AP46" s="665">
        <v>0.02</v>
      </c>
      <c r="AQ46" s="740">
        <v>24520</v>
      </c>
      <c r="AR46" s="665">
        <v>0.02</v>
      </c>
      <c r="AS46" s="618">
        <v>20171.439999999999</v>
      </c>
      <c r="AT46" s="665">
        <v>0.02</v>
      </c>
    </row>
    <row r="47" spans="1:46" ht="48" thickBot="1">
      <c r="A47" s="122" t="s">
        <v>56</v>
      </c>
      <c r="B47" s="123" t="s">
        <v>77</v>
      </c>
      <c r="C47" s="511">
        <v>1046.51</v>
      </c>
      <c r="D47" s="667">
        <v>0</v>
      </c>
      <c r="E47" s="511">
        <v>1046.51</v>
      </c>
      <c r="F47" s="667">
        <v>0</v>
      </c>
      <c r="G47" s="511">
        <v>1046.51</v>
      </c>
      <c r="H47" s="667">
        <v>0</v>
      </c>
      <c r="I47" s="511">
        <v>1046.51</v>
      </c>
      <c r="J47" s="667">
        <v>0</v>
      </c>
      <c r="K47" s="511">
        <v>1046.51</v>
      </c>
      <c r="L47" s="667">
        <v>0</v>
      </c>
      <c r="M47" s="592">
        <v>5010.58</v>
      </c>
      <c r="N47" s="667">
        <v>0</v>
      </c>
      <c r="O47" s="592">
        <v>5010.58</v>
      </c>
      <c r="P47" s="667">
        <v>0.01</v>
      </c>
      <c r="Q47" s="592">
        <v>5010.58</v>
      </c>
      <c r="R47" s="667">
        <v>0.01</v>
      </c>
      <c r="S47" s="592">
        <v>5010.58</v>
      </c>
      <c r="T47" s="667">
        <v>0.01</v>
      </c>
      <c r="U47" s="592">
        <v>5010.58</v>
      </c>
      <c r="V47" s="667">
        <v>0.01</v>
      </c>
      <c r="W47" s="592">
        <v>5010.58</v>
      </c>
      <c r="X47" s="667">
        <v>0.01</v>
      </c>
      <c r="Y47" s="592">
        <v>5010.58</v>
      </c>
      <c r="Z47" s="667">
        <v>0.01</v>
      </c>
      <c r="AA47" s="592">
        <v>5010.58</v>
      </c>
      <c r="AB47" s="667">
        <v>0.01</v>
      </c>
      <c r="AC47" s="592">
        <v>5010.58</v>
      </c>
      <c r="AD47" s="667">
        <v>0.01</v>
      </c>
      <c r="AE47" s="592">
        <v>5010.58</v>
      </c>
      <c r="AF47" s="667">
        <v>0</v>
      </c>
      <c r="AG47" s="592">
        <v>5010.58</v>
      </c>
      <c r="AH47" s="667">
        <v>0</v>
      </c>
      <c r="AI47" s="592">
        <v>5010.58</v>
      </c>
      <c r="AJ47" s="667">
        <v>0</v>
      </c>
      <c r="AK47" s="592">
        <v>5010.58</v>
      </c>
      <c r="AL47" s="667">
        <v>0</v>
      </c>
      <c r="AM47" s="592">
        <v>5010.58</v>
      </c>
      <c r="AN47" s="667">
        <v>0</v>
      </c>
      <c r="AO47" s="592">
        <v>5010.58</v>
      </c>
      <c r="AP47" s="667">
        <v>0</v>
      </c>
      <c r="AQ47" s="592">
        <v>5010.58</v>
      </c>
      <c r="AR47" s="667">
        <v>0</v>
      </c>
      <c r="AS47" s="616"/>
      <c r="AT47" s="673"/>
    </row>
    <row r="48" spans="1:46" ht="79.5" thickBot="1">
      <c r="A48" s="132" t="s">
        <v>72</v>
      </c>
      <c r="B48" s="123" t="s">
        <v>78</v>
      </c>
      <c r="C48" s="511">
        <v>5303.55</v>
      </c>
      <c r="D48" s="667">
        <v>0.01</v>
      </c>
      <c r="E48" s="511">
        <v>5303.55</v>
      </c>
      <c r="F48" s="667">
        <v>0.01</v>
      </c>
      <c r="G48" s="511">
        <v>5303.55</v>
      </c>
      <c r="H48" s="667">
        <v>0.01</v>
      </c>
      <c r="I48" s="511">
        <v>5303.55</v>
      </c>
      <c r="J48" s="667">
        <v>0.01</v>
      </c>
      <c r="K48" s="511">
        <v>5303.55</v>
      </c>
      <c r="L48" s="667">
        <v>0.01</v>
      </c>
      <c r="M48" s="511">
        <v>5303.55</v>
      </c>
      <c r="N48" s="667">
        <v>0</v>
      </c>
      <c r="O48" s="511">
        <v>5303.55</v>
      </c>
      <c r="P48" s="667">
        <v>0.01</v>
      </c>
      <c r="Q48" s="511">
        <v>5303.55</v>
      </c>
      <c r="R48" s="667">
        <v>0.01</v>
      </c>
      <c r="S48" s="511">
        <v>5303.55</v>
      </c>
      <c r="T48" s="667">
        <v>0.01</v>
      </c>
      <c r="U48" s="511">
        <v>5303.55</v>
      </c>
      <c r="V48" s="667">
        <v>0.01</v>
      </c>
      <c r="W48" s="511">
        <v>5303.55</v>
      </c>
      <c r="X48" s="667">
        <v>0.01</v>
      </c>
      <c r="Y48" s="511">
        <v>5303.55</v>
      </c>
      <c r="Z48" s="667">
        <v>0.01</v>
      </c>
      <c r="AA48" s="511">
        <v>5303.55</v>
      </c>
      <c r="AB48" s="667">
        <v>0.01</v>
      </c>
      <c r="AC48" s="511">
        <v>5303.55</v>
      </c>
      <c r="AD48" s="667">
        <v>0.01</v>
      </c>
      <c r="AE48" s="511">
        <v>5303.55</v>
      </c>
      <c r="AF48" s="667">
        <v>0.01</v>
      </c>
      <c r="AG48" s="511">
        <v>5303.55</v>
      </c>
      <c r="AH48" s="667">
        <v>0.01</v>
      </c>
      <c r="AI48" s="511">
        <v>5303.55</v>
      </c>
      <c r="AJ48" s="667">
        <v>0.01</v>
      </c>
      <c r="AK48" s="511">
        <v>5303.55</v>
      </c>
      <c r="AL48" s="667">
        <v>0.01</v>
      </c>
      <c r="AM48" s="511">
        <v>5303.55</v>
      </c>
      <c r="AN48" s="667">
        <v>0.01</v>
      </c>
      <c r="AO48" s="511">
        <v>5303.55</v>
      </c>
      <c r="AP48" s="667">
        <v>0.01</v>
      </c>
      <c r="AQ48" s="511">
        <v>5303.55</v>
      </c>
      <c r="AR48" s="667">
        <v>0.01</v>
      </c>
      <c r="AS48" s="619">
        <v>3092.7</v>
      </c>
      <c r="AT48" s="667">
        <v>0.01</v>
      </c>
    </row>
    <row r="49" spans="1:46" ht="32.25" thickBot="1">
      <c r="A49" s="132" t="s">
        <v>51</v>
      </c>
      <c r="B49" s="123" t="s">
        <v>52</v>
      </c>
      <c r="C49" s="700">
        <v>33586.619999999995</v>
      </c>
      <c r="D49" s="667">
        <v>0.03</v>
      </c>
      <c r="E49" s="700">
        <v>33586.619999999995</v>
      </c>
      <c r="F49" s="667">
        <v>0.03</v>
      </c>
      <c r="G49" s="700">
        <v>33586.619999999995</v>
      </c>
      <c r="H49" s="667">
        <v>0.03</v>
      </c>
      <c r="I49" s="700">
        <v>33586.619999999995</v>
      </c>
      <c r="J49" s="667">
        <v>0.03</v>
      </c>
      <c r="K49" s="700">
        <v>33586.619999999995</v>
      </c>
      <c r="L49" s="667">
        <v>0.03</v>
      </c>
      <c r="M49" s="700">
        <v>33586.619999999995</v>
      </c>
      <c r="N49" s="667">
        <v>0.03</v>
      </c>
      <c r="O49" s="700">
        <v>33586.619999999995</v>
      </c>
      <c r="P49" s="667">
        <v>0.03</v>
      </c>
      <c r="Q49" s="700">
        <v>33586.619999999995</v>
      </c>
      <c r="R49" s="667">
        <v>0.03</v>
      </c>
      <c r="S49" s="700">
        <v>33586.619999999995</v>
      </c>
      <c r="T49" s="667">
        <v>0.03</v>
      </c>
      <c r="U49" s="700">
        <v>33586.619999999995</v>
      </c>
      <c r="V49" s="667">
        <v>0.03</v>
      </c>
      <c r="W49" s="700">
        <v>33586.619999999995</v>
      </c>
      <c r="X49" s="667">
        <v>0.03</v>
      </c>
      <c r="Y49" s="700">
        <v>33586.619999999995</v>
      </c>
      <c r="Z49" s="667">
        <v>0.03</v>
      </c>
      <c r="AA49" s="700">
        <v>33586.619999999995</v>
      </c>
      <c r="AB49" s="667">
        <v>0.03</v>
      </c>
      <c r="AC49" s="677"/>
      <c r="AD49" s="669"/>
      <c r="AE49" s="677"/>
      <c r="AF49" s="669"/>
      <c r="AG49" s="677"/>
      <c r="AH49" s="669"/>
      <c r="AI49" s="677"/>
      <c r="AJ49" s="669"/>
      <c r="AK49" s="677"/>
      <c r="AL49" s="669"/>
      <c r="AM49" s="677"/>
      <c r="AN49" s="669"/>
      <c r="AO49" s="677"/>
      <c r="AP49" s="669"/>
      <c r="AQ49" s="677"/>
      <c r="AR49" s="669"/>
      <c r="AS49" s="751">
        <v>27368.26</v>
      </c>
      <c r="AT49" s="667">
        <v>0.03</v>
      </c>
    </row>
    <row r="50" spans="1:46" thickBot="1">
      <c r="A50" s="1049" t="s">
        <v>127</v>
      </c>
      <c r="B50" s="1050"/>
      <c r="C50" s="700">
        <v>43138.01</v>
      </c>
      <c r="D50" s="667">
        <v>0.04</v>
      </c>
      <c r="E50" s="700">
        <v>43138.01</v>
      </c>
      <c r="F50" s="667">
        <v>0.04</v>
      </c>
      <c r="G50" s="700">
        <v>43138.01</v>
      </c>
      <c r="H50" s="667">
        <v>0.04</v>
      </c>
      <c r="I50" s="700">
        <v>43138.01</v>
      </c>
      <c r="J50" s="667">
        <v>0.04</v>
      </c>
      <c r="K50" s="700">
        <v>43138.01</v>
      </c>
      <c r="L50" s="667">
        <v>0.04</v>
      </c>
      <c r="M50" s="700">
        <v>43138.01</v>
      </c>
      <c r="N50" s="667">
        <v>0.04</v>
      </c>
      <c r="O50" s="700">
        <v>43138.01</v>
      </c>
      <c r="P50" s="667">
        <v>0.04</v>
      </c>
      <c r="Q50" s="700">
        <v>43138.01</v>
      </c>
      <c r="R50" s="667">
        <v>0.04</v>
      </c>
      <c r="S50" s="700">
        <v>43138.01</v>
      </c>
      <c r="T50" s="667">
        <v>0.04</v>
      </c>
      <c r="U50" s="700">
        <v>43138.01</v>
      </c>
      <c r="V50" s="667">
        <v>0.04</v>
      </c>
      <c r="W50" s="700">
        <v>43138.01</v>
      </c>
      <c r="X50" s="667">
        <v>0.04</v>
      </c>
      <c r="Y50" s="700">
        <v>43138.01</v>
      </c>
      <c r="Z50" s="667">
        <v>0.04</v>
      </c>
      <c r="AA50" s="700">
        <v>43138.01</v>
      </c>
      <c r="AB50" s="667">
        <v>0.04</v>
      </c>
      <c r="AC50" s="700">
        <v>43138.01</v>
      </c>
      <c r="AD50" s="667">
        <v>0.04</v>
      </c>
      <c r="AE50" s="700">
        <v>43138.01</v>
      </c>
      <c r="AF50" s="667">
        <v>0.04</v>
      </c>
      <c r="AG50" s="700">
        <v>43138.01</v>
      </c>
      <c r="AH50" s="667">
        <v>0.04</v>
      </c>
      <c r="AI50" s="700">
        <v>43138.01</v>
      </c>
      <c r="AJ50" s="667">
        <v>0.04</v>
      </c>
      <c r="AK50" s="700">
        <v>43138.01</v>
      </c>
      <c r="AL50" s="667">
        <v>0.04</v>
      </c>
      <c r="AM50" s="700">
        <v>43138.01</v>
      </c>
      <c r="AN50" s="667">
        <v>0.04</v>
      </c>
      <c r="AO50" s="677"/>
      <c r="AP50" s="669"/>
      <c r="AQ50" s="677"/>
      <c r="AR50" s="669"/>
      <c r="AS50" s="751">
        <v>34148.89</v>
      </c>
      <c r="AT50" s="667">
        <v>0.03</v>
      </c>
    </row>
    <row r="51" spans="1:46" ht="32.25" thickBot="1">
      <c r="A51" s="133" t="s">
        <v>73</v>
      </c>
      <c r="B51" s="134" t="s">
        <v>53</v>
      </c>
      <c r="C51" s="700">
        <v>78987.989999999991</v>
      </c>
      <c r="D51" s="667">
        <v>0.08</v>
      </c>
      <c r="E51" s="700">
        <v>78987.989999999991</v>
      </c>
      <c r="F51" s="667">
        <v>0.08</v>
      </c>
      <c r="G51" s="700">
        <v>78987.989999999991</v>
      </c>
      <c r="H51" s="667">
        <v>0.08</v>
      </c>
      <c r="I51" s="700">
        <v>78987.989999999991</v>
      </c>
      <c r="J51" s="667">
        <v>0.08</v>
      </c>
      <c r="K51" s="677"/>
      <c r="L51" s="669"/>
      <c r="M51" s="677"/>
      <c r="N51" s="669"/>
      <c r="O51" s="677"/>
      <c r="P51" s="669"/>
      <c r="Q51" s="677"/>
      <c r="R51" s="669"/>
      <c r="S51" s="677"/>
      <c r="T51" s="669"/>
      <c r="U51" s="677"/>
      <c r="V51" s="669"/>
      <c r="W51" s="677"/>
      <c r="X51" s="669"/>
      <c r="Y51" s="677"/>
      <c r="Z51" s="669"/>
      <c r="AA51" s="677"/>
      <c r="AB51" s="669"/>
      <c r="AC51" s="677"/>
      <c r="AD51" s="669"/>
      <c r="AE51" s="677"/>
      <c r="AF51" s="669"/>
      <c r="AG51" s="677"/>
      <c r="AH51" s="669"/>
      <c r="AI51" s="677"/>
      <c r="AJ51" s="669"/>
      <c r="AK51" s="677"/>
      <c r="AL51" s="669"/>
      <c r="AM51" s="677"/>
      <c r="AN51" s="669"/>
      <c r="AO51" s="677"/>
      <c r="AP51" s="669"/>
      <c r="AQ51" s="677"/>
      <c r="AR51" s="669"/>
      <c r="AS51" s="751">
        <v>62527.729999999996</v>
      </c>
      <c r="AT51" s="667">
        <v>0.06</v>
      </c>
    </row>
    <row r="52" spans="1:46" ht="32.25" thickBot="1">
      <c r="A52" s="122" t="s">
        <v>54</v>
      </c>
      <c r="B52" s="123" t="s">
        <v>79</v>
      </c>
      <c r="C52" s="511">
        <v>4315.58</v>
      </c>
      <c r="D52" s="667"/>
      <c r="E52" s="511">
        <v>4315.58</v>
      </c>
      <c r="F52" s="667"/>
      <c r="G52" s="511">
        <v>4315.58</v>
      </c>
      <c r="H52" s="667"/>
      <c r="I52" s="511">
        <v>4315.58</v>
      </c>
      <c r="J52" s="667"/>
      <c r="K52" s="677"/>
      <c r="L52" s="669"/>
      <c r="M52" s="677"/>
      <c r="N52" s="669"/>
      <c r="O52" s="677"/>
      <c r="P52" s="669"/>
      <c r="Q52" s="677"/>
      <c r="R52" s="669"/>
      <c r="S52" s="677"/>
      <c r="T52" s="669"/>
      <c r="U52" s="677"/>
      <c r="V52" s="669"/>
      <c r="W52" s="677"/>
      <c r="X52" s="669"/>
      <c r="Y52" s="677"/>
      <c r="Z52" s="677"/>
      <c r="AA52" s="677"/>
      <c r="AB52" s="677"/>
      <c r="AC52" s="677"/>
      <c r="AD52" s="677"/>
      <c r="AE52" s="677"/>
      <c r="AF52" s="677"/>
      <c r="AG52" s="677"/>
      <c r="AH52" s="677"/>
      <c r="AI52" s="677"/>
      <c r="AJ52" s="677"/>
      <c r="AK52" s="677"/>
      <c r="AL52" s="677"/>
      <c r="AM52" s="677"/>
      <c r="AN52" s="677"/>
      <c r="AO52" s="677"/>
      <c r="AP52" s="677"/>
      <c r="AQ52" s="677"/>
      <c r="AR52" s="677"/>
      <c r="AS52" s="612">
        <v>3944.58</v>
      </c>
      <c r="AT52" s="743"/>
    </row>
    <row r="53" spans="1:46" ht="32.25" thickBot="1">
      <c r="A53" s="135" t="s">
        <v>55</v>
      </c>
      <c r="B53" s="223" t="s">
        <v>80</v>
      </c>
      <c r="C53" s="511">
        <v>3330.71</v>
      </c>
      <c r="D53" s="667"/>
      <c r="E53" s="511">
        <v>3330.71</v>
      </c>
      <c r="F53" s="667"/>
      <c r="G53" s="511">
        <v>3330.71</v>
      </c>
      <c r="H53" s="667"/>
      <c r="I53" s="511">
        <v>3330.71</v>
      </c>
      <c r="J53" s="667"/>
      <c r="K53" s="511">
        <v>3330.71</v>
      </c>
      <c r="L53" s="667"/>
      <c r="M53" s="511">
        <v>3330.71</v>
      </c>
      <c r="N53" s="667"/>
      <c r="O53" s="511">
        <v>3330.71</v>
      </c>
      <c r="P53" s="667"/>
      <c r="Q53" s="511">
        <v>3330.71</v>
      </c>
      <c r="R53" s="667"/>
      <c r="S53" s="511">
        <v>3330.71</v>
      </c>
      <c r="T53" s="667"/>
      <c r="U53" s="511">
        <v>3330.71</v>
      </c>
      <c r="V53" s="667"/>
      <c r="W53" s="511">
        <v>3330.71</v>
      </c>
      <c r="X53" s="667"/>
      <c r="Y53" s="677"/>
      <c r="Z53" s="677"/>
      <c r="AA53" s="677"/>
      <c r="AB53" s="677"/>
      <c r="AC53" s="677"/>
      <c r="AD53" s="677"/>
      <c r="AE53" s="677"/>
      <c r="AF53" s="677"/>
      <c r="AG53" s="677"/>
      <c r="AH53" s="677"/>
      <c r="AI53" s="677"/>
      <c r="AJ53" s="677"/>
      <c r="AK53" s="677"/>
      <c r="AL53" s="677"/>
      <c r="AM53" s="677"/>
      <c r="AN53" s="677"/>
      <c r="AO53" s="677"/>
      <c r="AP53" s="677"/>
      <c r="AQ53" s="677"/>
      <c r="AR53" s="677"/>
      <c r="AS53" s="612">
        <v>2167.0700000000002</v>
      </c>
      <c r="AT53" s="743"/>
    </row>
    <row r="54" spans="1:46" ht="16.5" thickBot="1">
      <c r="A54" s="221" t="s">
        <v>99</v>
      </c>
      <c r="B54" s="222"/>
      <c r="C54" s="677"/>
      <c r="D54" s="669"/>
      <c r="E54" s="677"/>
      <c r="F54" s="669"/>
      <c r="G54" s="677"/>
      <c r="H54" s="669"/>
      <c r="I54" s="677"/>
      <c r="J54" s="669"/>
      <c r="K54" s="677"/>
      <c r="L54" s="669"/>
      <c r="M54" s="677"/>
      <c r="N54" s="669"/>
      <c r="O54" s="677"/>
      <c r="P54" s="669"/>
      <c r="Q54" s="677"/>
      <c r="R54" s="669"/>
      <c r="S54" s="677"/>
      <c r="T54" s="669"/>
      <c r="U54" s="677"/>
      <c r="V54" s="669"/>
      <c r="W54" s="677"/>
      <c r="X54" s="669"/>
      <c r="Y54" s="677"/>
      <c r="Z54" s="669"/>
      <c r="AA54" s="677"/>
      <c r="AB54" s="669"/>
      <c r="AC54" s="677"/>
      <c r="AD54" s="669"/>
      <c r="AE54" s="677"/>
      <c r="AF54" s="669"/>
      <c r="AG54" s="677"/>
      <c r="AH54" s="669"/>
      <c r="AI54" s="677"/>
      <c r="AJ54" s="669"/>
      <c r="AK54" s="677"/>
      <c r="AL54" s="669"/>
      <c r="AM54" s="677"/>
      <c r="AN54" s="669"/>
      <c r="AO54" s="677"/>
      <c r="AP54" s="669"/>
      <c r="AQ54" s="677"/>
      <c r="AR54" s="669"/>
      <c r="AS54" s="620"/>
      <c r="AT54" s="669"/>
    </row>
    <row r="55" spans="1:46" ht="15">
      <c r="A55" s="1045" t="s">
        <v>103</v>
      </c>
      <c r="B55" s="1046" t="s">
        <v>103</v>
      </c>
      <c r="C55" s="473">
        <v>2576.1</v>
      </c>
      <c r="D55" s="678">
        <v>0</v>
      </c>
      <c r="E55" s="473">
        <v>5152.1899999999996</v>
      </c>
      <c r="F55" s="678">
        <v>0</v>
      </c>
      <c r="G55" s="473">
        <v>7728.29</v>
      </c>
      <c r="H55" s="678">
        <v>0.01</v>
      </c>
      <c r="I55" s="473">
        <v>10304.379999999999</v>
      </c>
      <c r="J55" s="678">
        <v>0.01</v>
      </c>
      <c r="K55" s="473">
        <v>18032.669999999998</v>
      </c>
      <c r="L55" s="678">
        <v>0.02</v>
      </c>
      <c r="M55" s="473">
        <v>20608.77</v>
      </c>
      <c r="N55" s="678">
        <v>0.02</v>
      </c>
      <c r="O55" s="473">
        <v>23184.86</v>
      </c>
      <c r="P55" s="405">
        <v>0.02</v>
      </c>
      <c r="Q55" s="473">
        <v>25760.959999999999</v>
      </c>
      <c r="R55" s="405">
        <v>0.02</v>
      </c>
      <c r="S55" s="473">
        <v>28337.05</v>
      </c>
      <c r="T55" s="405">
        <v>0.03</v>
      </c>
      <c r="U55" s="473">
        <v>36065.339999999997</v>
      </c>
      <c r="V55" s="405">
        <v>0.03</v>
      </c>
      <c r="W55" s="473">
        <v>38641.440000000002</v>
      </c>
      <c r="X55" s="405">
        <v>0.04</v>
      </c>
      <c r="Y55" s="473">
        <v>41217.53</v>
      </c>
      <c r="Z55" s="405">
        <v>0.04</v>
      </c>
      <c r="AA55" s="734">
        <v>43793.63</v>
      </c>
      <c r="AB55" s="736">
        <v>0.04</v>
      </c>
      <c r="AC55" s="473">
        <v>46369.73</v>
      </c>
      <c r="AD55" s="736">
        <v>0.04</v>
      </c>
      <c r="AE55" s="473">
        <v>54098.01</v>
      </c>
      <c r="AF55" s="736">
        <v>0.05</v>
      </c>
      <c r="AG55" s="473">
        <v>56674.11</v>
      </c>
      <c r="AH55" s="736">
        <v>0.05</v>
      </c>
      <c r="AI55" s="473">
        <v>59250.21</v>
      </c>
      <c r="AJ55" s="736">
        <v>0.06</v>
      </c>
      <c r="AK55" s="473">
        <v>61826.3</v>
      </c>
      <c r="AL55" s="736">
        <v>0.06</v>
      </c>
      <c r="AM55" s="473">
        <v>64402.400000000001</v>
      </c>
      <c r="AN55" s="736">
        <v>0.06</v>
      </c>
      <c r="AO55" s="473">
        <v>72130.679999999993</v>
      </c>
      <c r="AP55" s="736">
        <v>7.0000000000000007E-2</v>
      </c>
      <c r="AQ55" s="473">
        <v>74706.78</v>
      </c>
      <c r="AR55" s="736">
        <v>7.0000000000000007E-2</v>
      </c>
      <c r="AS55" s="612">
        <v>77282.880000000005</v>
      </c>
      <c r="AT55" s="736">
        <v>7.0000000000000007E-2</v>
      </c>
    </row>
    <row r="56" spans="1:46" ht="15">
      <c r="A56" s="1032" t="s">
        <v>39</v>
      </c>
      <c r="B56" s="1044" t="s">
        <v>39</v>
      </c>
      <c r="C56" s="473">
        <v>41217.53</v>
      </c>
      <c r="D56" s="678">
        <v>0.04</v>
      </c>
      <c r="E56" s="473">
        <v>41871.78</v>
      </c>
      <c r="F56" s="678">
        <v>0.04</v>
      </c>
      <c r="G56" s="473">
        <v>42526.03</v>
      </c>
      <c r="H56" s="678">
        <v>0.04</v>
      </c>
      <c r="I56" s="473">
        <v>43180.27</v>
      </c>
      <c r="J56" s="678">
        <v>0.04</v>
      </c>
      <c r="K56" s="473">
        <v>45143.01</v>
      </c>
      <c r="L56" s="678">
        <v>0.04</v>
      </c>
      <c r="M56" s="473">
        <v>45797.26</v>
      </c>
      <c r="N56" s="678">
        <v>0.05</v>
      </c>
      <c r="O56" s="473">
        <v>46451.51</v>
      </c>
      <c r="P56" s="405">
        <v>0.05</v>
      </c>
      <c r="Q56" s="473">
        <v>47105.75</v>
      </c>
      <c r="R56" s="405">
        <v>0.05</v>
      </c>
      <c r="S56" s="473">
        <v>47760</v>
      </c>
      <c r="T56" s="405">
        <v>0.05</v>
      </c>
      <c r="U56" s="473">
        <v>49722.74</v>
      </c>
      <c r="V56" s="405">
        <v>0.05</v>
      </c>
      <c r="W56" s="536">
        <v>50376.99</v>
      </c>
      <c r="X56" s="405">
        <v>0.05</v>
      </c>
      <c r="Y56" s="473">
        <v>51031.23</v>
      </c>
      <c r="Z56" s="405">
        <v>0.05</v>
      </c>
      <c r="AA56" s="734">
        <v>51685.48</v>
      </c>
      <c r="AB56" s="736">
        <v>0.05</v>
      </c>
      <c r="AC56" s="473">
        <v>52339.73</v>
      </c>
      <c r="AD56" s="736">
        <v>0.05</v>
      </c>
      <c r="AE56" s="473">
        <v>54302.47</v>
      </c>
      <c r="AF56" s="736">
        <v>0.05</v>
      </c>
      <c r="AG56" s="473">
        <v>54956.71</v>
      </c>
      <c r="AH56" s="736">
        <v>0.05</v>
      </c>
      <c r="AI56" s="473">
        <v>55610.96</v>
      </c>
      <c r="AJ56" s="736">
        <v>0.05</v>
      </c>
      <c r="AK56" s="473">
        <v>56265.21</v>
      </c>
      <c r="AL56" s="736">
        <v>0.05</v>
      </c>
      <c r="AM56" s="473">
        <v>56919.45</v>
      </c>
      <c r="AN56" s="736">
        <v>0.05</v>
      </c>
      <c r="AO56" s="473">
        <v>58882.19</v>
      </c>
      <c r="AP56" s="736">
        <v>0.06</v>
      </c>
      <c r="AQ56" s="473">
        <v>59536.44</v>
      </c>
      <c r="AR56" s="736">
        <v>0.06</v>
      </c>
      <c r="AS56" s="612">
        <v>60272.47</v>
      </c>
      <c r="AT56" s="736">
        <v>0.06</v>
      </c>
    </row>
    <row r="57" spans="1:46" ht="15">
      <c r="A57" s="1040" t="s">
        <v>95</v>
      </c>
      <c r="B57" s="1041" t="s">
        <v>95</v>
      </c>
      <c r="C57" s="536">
        <v>1669.69</v>
      </c>
      <c r="D57" s="678">
        <v>0</v>
      </c>
      <c r="E57" s="536">
        <v>3339.38</v>
      </c>
      <c r="F57" s="678">
        <v>0</v>
      </c>
      <c r="G57" s="536">
        <v>5009.08</v>
      </c>
      <c r="H57" s="678">
        <v>0</v>
      </c>
      <c r="I57" s="536">
        <v>6678.77</v>
      </c>
      <c r="J57" s="678">
        <v>0.01</v>
      </c>
      <c r="K57" s="536">
        <v>11687.84</v>
      </c>
      <c r="L57" s="678">
        <v>0.01</v>
      </c>
      <c r="M57" s="536">
        <v>13357.53</v>
      </c>
      <c r="N57" s="678">
        <v>0.01</v>
      </c>
      <c r="O57" s="536">
        <v>15027.23</v>
      </c>
      <c r="P57" s="539">
        <v>0.02</v>
      </c>
      <c r="Q57" s="536">
        <v>16696.919999999998</v>
      </c>
      <c r="R57" s="539">
        <v>0.02</v>
      </c>
      <c r="S57" s="536">
        <v>18366.61</v>
      </c>
      <c r="T57" s="539">
        <v>0.02</v>
      </c>
      <c r="U57" s="536">
        <v>23375.68</v>
      </c>
      <c r="V57" s="539">
        <v>0.02</v>
      </c>
      <c r="W57" s="536">
        <v>25045.38</v>
      </c>
      <c r="X57" s="539">
        <v>0.02</v>
      </c>
      <c r="Y57" s="536">
        <v>26715.07</v>
      </c>
      <c r="Z57" s="539">
        <v>0.03</v>
      </c>
      <c r="AA57" s="735">
        <v>28384.76</v>
      </c>
      <c r="AB57" s="737">
        <v>0.03</v>
      </c>
      <c r="AC57" s="536">
        <v>30054.45</v>
      </c>
      <c r="AD57" s="737">
        <v>0.03</v>
      </c>
      <c r="AE57" s="536">
        <v>35063.53</v>
      </c>
      <c r="AF57" s="737">
        <v>0.03</v>
      </c>
      <c r="AG57" s="536">
        <v>36733.22</v>
      </c>
      <c r="AH57" s="737">
        <v>0.04</v>
      </c>
      <c r="AI57" s="536">
        <v>38402.910000000003</v>
      </c>
      <c r="AJ57" s="737">
        <v>0.04</v>
      </c>
      <c r="AK57" s="536">
        <v>40072.6</v>
      </c>
      <c r="AL57" s="737">
        <v>0.04</v>
      </c>
      <c r="AM57" s="536">
        <v>41742.29</v>
      </c>
      <c r="AN57" s="737">
        <v>0.04</v>
      </c>
      <c r="AO57" s="536">
        <v>46751.37</v>
      </c>
      <c r="AP57" s="737">
        <v>0.04</v>
      </c>
      <c r="AQ57" s="536">
        <v>48421.06</v>
      </c>
      <c r="AR57" s="737">
        <v>0.05</v>
      </c>
      <c r="AS57" s="752">
        <v>50090.75</v>
      </c>
      <c r="AT57" s="737">
        <v>0.05</v>
      </c>
    </row>
    <row r="58" spans="1:46" ht="15">
      <c r="A58" s="1040" t="s">
        <v>126</v>
      </c>
      <c r="B58" s="1041" t="s">
        <v>126</v>
      </c>
      <c r="C58" s="536">
        <v>29686.44</v>
      </c>
      <c r="D58" s="678">
        <v>0.03</v>
      </c>
      <c r="E58" s="536">
        <v>31170.76</v>
      </c>
      <c r="F58" s="678">
        <v>0.03</v>
      </c>
      <c r="G58" s="536">
        <v>32655.08</v>
      </c>
      <c r="H58" s="678">
        <v>0.03</v>
      </c>
      <c r="I58" s="536">
        <v>34139.4</v>
      </c>
      <c r="J58" s="678">
        <v>0.03</v>
      </c>
      <c r="K58" s="536">
        <v>38592.370000000003</v>
      </c>
      <c r="L58" s="678">
        <v>0.04</v>
      </c>
      <c r="M58" s="536">
        <v>40076.69</v>
      </c>
      <c r="N58" s="678">
        <v>0.04</v>
      </c>
      <c r="O58" s="536">
        <v>41561.01</v>
      </c>
      <c r="P58" s="539">
        <v>0.04</v>
      </c>
      <c r="Q58" s="536">
        <v>43045.34</v>
      </c>
      <c r="R58" s="539">
        <v>0.04</v>
      </c>
      <c r="S58" s="536">
        <v>44529.66</v>
      </c>
      <c r="T58" s="539">
        <v>0.04</v>
      </c>
      <c r="U58" s="536">
        <v>48982.62</v>
      </c>
      <c r="V58" s="539">
        <v>0.05</v>
      </c>
      <c r="W58" s="536">
        <v>50466.95</v>
      </c>
      <c r="X58" s="539">
        <v>0.05</v>
      </c>
      <c r="Y58" s="536">
        <v>51951.27</v>
      </c>
      <c r="Z58" s="539">
        <v>0.05</v>
      </c>
      <c r="AA58" s="735">
        <v>53435.59</v>
      </c>
      <c r="AB58" s="737">
        <v>0.05</v>
      </c>
      <c r="AC58" s="536">
        <v>54919.91</v>
      </c>
      <c r="AD58" s="737">
        <v>0.05</v>
      </c>
      <c r="AE58" s="536">
        <v>59372.88</v>
      </c>
      <c r="AF58" s="737">
        <v>0.06</v>
      </c>
      <c r="AG58" s="536">
        <v>60857.2</v>
      </c>
      <c r="AH58" s="737">
        <v>0.06</v>
      </c>
      <c r="AI58" s="536">
        <v>62341.52</v>
      </c>
      <c r="AJ58" s="737">
        <v>0.06</v>
      </c>
      <c r="AK58" s="536">
        <v>63825.84</v>
      </c>
      <c r="AL58" s="737">
        <v>0.06</v>
      </c>
      <c r="AM58" s="536">
        <v>65310.16</v>
      </c>
      <c r="AN58" s="737">
        <v>0.06</v>
      </c>
      <c r="AO58" s="536">
        <v>69763.13</v>
      </c>
      <c r="AP58" s="737">
        <v>7.0000000000000007E-2</v>
      </c>
      <c r="AQ58" s="536">
        <v>71247.45</v>
      </c>
      <c r="AR58" s="737">
        <v>7.0000000000000007E-2</v>
      </c>
      <c r="AS58" s="752">
        <v>72731.77</v>
      </c>
      <c r="AT58" s="737">
        <v>7.0000000000000007E-2</v>
      </c>
    </row>
    <row r="59" spans="1:46" thickBot="1">
      <c r="A59" s="1040" t="s">
        <v>126</v>
      </c>
      <c r="B59" s="1041" t="s">
        <v>126</v>
      </c>
      <c r="C59" s="536">
        <v>1930.03</v>
      </c>
      <c r="D59" s="678">
        <v>0</v>
      </c>
      <c r="E59" s="536">
        <v>2251.6999999999998</v>
      </c>
      <c r="F59" s="678">
        <v>0</v>
      </c>
      <c r="G59" s="536">
        <v>2573.37</v>
      </c>
      <c r="H59" s="678">
        <v>0</v>
      </c>
      <c r="I59" s="536">
        <v>2895.04</v>
      </c>
      <c r="J59" s="678">
        <v>0</v>
      </c>
      <c r="K59" s="536">
        <v>3860.05</v>
      </c>
      <c r="L59" s="678">
        <v>0</v>
      </c>
      <c r="M59" s="536">
        <v>4181.7299999999996</v>
      </c>
      <c r="N59" s="678">
        <v>0</v>
      </c>
      <c r="O59" s="536">
        <v>4503.3999999999996</v>
      </c>
      <c r="P59" s="539">
        <v>0</v>
      </c>
      <c r="Q59" s="536">
        <v>4825.07</v>
      </c>
      <c r="R59" s="539">
        <v>0</v>
      </c>
      <c r="S59" s="536">
        <v>5146.74</v>
      </c>
      <c r="T59" s="539">
        <v>0</v>
      </c>
      <c r="U59" s="536">
        <v>6111.75</v>
      </c>
      <c r="V59" s="539">
        <v>0.01</v>
      </c>
      <c r="W59" s="536">
        <v>6433.42</v>
      </c>
      <c r="X59" s="539">
        <v>0.01</v>
      </c>
      <c r="Y59" s="536">
        <v>6755.1</v>
      </c>
      <c r="Z59" s="539">
        <v>0.01</v>
      </c>
      <c r="AA59" s="735">
        <v>7076.77</v>
      </c>
      <c r="AB59" s="737">
        <v>0.01</v>
      </c>
      <c r="AC59" s="536">
        <v>7398.44</v>
      </c>
      <c r="AD59" s="737">
        <v>0.01</v>
      </c>
      <c r="AE59" s="536">
        <v>8363.4500000000007</v>
      </c>
      <c r="AF59" s="737">
        <v>0.01</v>
      </c>
      <c r="AG59" s="536">
        <v>8685.1200000000008</v>
      </c>
      <c r="AH59" s="737">
        <v>0.01</v>
      </c>
      <c r="AI59" s="536">
        <v>9006.7900000000009</v>
      </c>
      <c r="AJ59" s="737">
        <v>0.01</v>
      </c>
      <c r="AK59" s="536">
        <v>9328.4699999999993</v>
      </c>
      <c r="AL59" s="737">
        <v>0.01</v>
      </c>
      <c r="AM59" s="536">
        <v>9650.14</v>
      </c>
      <c r="AN59" s="737">
        <v>0.01</v>
      </c>
      <c r="AO59" s="536">
        <v>643.34</v>
      </c>
      <c r="AP59" s="737">
        <v>0</v>
      </c>
      <c r="AQ59" s="536">
        <v>965.01</v>
      </c>
      <c r="AR59" s="737">
        <v>0</v>
      </c>
      <c r="AS59" s="752">
        <v>1286.68</v>
      </c>
      <c r="AT59" s="737">
        <v>0</v>
      </c>
    </row>
    <row r="60" spans="1:46" ht="15">
      <c r="A60" s="1042" t="s">
        <v>58</v>
      </c>
      <c r="B60" s="1043" t="s">
        <v>58</v>
      </c>
      <c r="C60" s="536">
        <v>55.45</v>
      </c>
      <c r="D60" s="669">
        <v>0</v>
      </c>
      <c r="E60" s="536">
        <v>110.89</v>
      </c>
      <c r="F60" s="669">
        <v>0</v>
      </c>
      <c r="G60" s="536">
        <v>133.63</v>
      </c>
      <c r="H60" s="669">
        <v>0</v>
      </c>
      <c r="I60" s="536">
        <v>156.36000000000001</v>
      </c>
      <c r="J60" s="669">
        <v>0</v>
      </c>
      <c r="K60" s="536">
        <v>224.57</v>
      </c>
      <c r="L60" s="669">
        <v>0</v>
      </c>
      <c r="M60" s="536">
        <v>247.3</v>
      </c>
      <c r="N60" s="669">
        <v>0</v>
      </c>
      <c r="O60" s="536">
        <v>270.04000000000002</v>
      </c>
      <c r="P60" s="706">
        <v>0</v>
      </c>
      <c r="Q60" s="536">
        <v>292.77</v>
      </c>
      <c r="R60" s="706">
        <v>0</v>
      </c>
      <c r="S60" s="536">
        <v>315.51</v>
      </c>
      <c r="T60" s="706">
        <v>0</v>
      </c>
      <c r="U60" s="536">
        <v>383.71</v>
      </c>
      <c r="V60" s="706">
        <v>0</v>
      </c>
      <c r="W60" s="713">
        <v>406.45</v>
      </c>
      <c r="X60" s="706">
        <v>0</v>
      </c>
      <c r="Y60" s="536">
        <v>429.18</v>
      </c>
      <c r="Z60" s="706">
        <v>0</v>
      </c>
      <c r="AA60" s="735">
        <v>533.70000000000005</v>
      </c>
      <c r="AB60" s="737">
        <v>0</v>
      </c>
      <c r="AC60" s="536">
        <v>638.21</v>
      </c>
      <c r="AD60" s="737">
        <v>0</v>
      </c>
      <c r="AE60" s="536">
        <v>951.76</v>
      </c>
      <c r="AF60" s="737">
        <v>0</v>
      </c>
      <c r="AG60" s="536">
        <v>1056.28</v>
      </c>
      <c r="AH60" s="737">
        <v>0</v>
      </c>
      <c r="AI60" s="536">
        <v>1160.79</v>
      </c>
      <c r="AJ60" s="737">
        <v>0</v>
      </c>
      <c r="AK60" s="536">
        <v>1265.31</v>
      </c>
      <c r="AL60" s="737">
        <v>0</v>
      </c>
      <c r="AM60" s="536">
        <v>1369.82</v>
      </c>
      <c r="AN60" s="737">
        <v>0</v>
      </c>
      <c r="AO60" s="536">
        <v>1683.37</v>
      </c>
      <c r="AP60" s="737">
        <v>0</v>
      </c>
      <c r="AQ60" s="536">
        <v>1787.89</v>
      </c>
      <c r="AR60" s="737">
        <v>0</v>
      </c>
      <c r="AS60" s="752">
        <v>1892.4</v>
      </c>
      <c r="AT60" s="737">
        <v>0</v>
      </c>
    </row>
    <row r="61" spans="1:46" s="459" customFormat="1">
      <c r="A61" s="458" t="s">
        <v>120</v>
      </c>
      <c r="B61" s="424" t="s">
        <v>105</v>
      </c>
      <c r="C61" s="698"/>
      <c r="D61" s="699"/>
      <c r="E61" s="698"/>
      <c r="F61" s="699"/>
      <c r="G61" s="698"/>
      <c r="H61" s="699"/>
      <c r="I61" s="698"/>
      <c r="J61" s="699"/>
      <c r="K61" s="698"/>
      <c r="L61" s="699"/>
      <c r="M61" s="698"/>
      <c r="N61" s="699"/>
      <c r="O61" s="698"/>
      <c r="P61" s="699"/>
      <c r="Q61" s="698"/>
      <c r="R61" s="699"/>
      <c r="S61" s="698"/>
      <c r="T61" s="699"/>
      <c r="U61" s="698"/>
      <c r="V61" s="699"/>
      <c r="W61" s="699"/>
      <c r="X61" s="699"/>
      <c r="Y61" s="699"/>
      <c r="Z61" s="699"/>
      <c r="AA61" s="699"/>
      <c r="AB61" s="699"/>
      <c r="AC61" s="699"/>
      <c r="AD61" s="699"/>
      <c r="AE61" s="699"/>
      <c r="AF61" s="699"/>
      <c r="AG61" s="699"/>
      <c r="AH61" s="699"/>
      <c r="AI61" s="699"/>
      <c r="AJ61" s="699"/>
      <c r="AK61" s="699"/>
      <c r="AL61" s="699"/>
      <c r="AM61" s="699"/>
      <c r="AN61" s="699"/>
      <c r="AO61" s="699"/>
      <c r="AP61" s="699"/>
      <c r="AQ61" s="699"/>
      <c r="AR61" s="699"/>
      <c r="AS61" s="753"/>
      <c r="AT61" s="699"/>
    </row>
    <row r="62" spans="1:46" s="459" customFormat="1">
      <c r="A62" s="543" t="s">
        <v>128</v>
      </c>
      <c r="B62" s="544"/>
      <c r="C62" s="681">
        <v>37500</v>
      </c>
      <c r="D62" s="682">
        <v>0.04</v>
      </c>
      <c r="E62" s="681">
        <v>37500</v>
      </c>
      <c r="F62" s="682">
        <v>0.05</v>
      </c>
      <c r="G62" s="681">
        <v>37500</v>
      </c>
      <c r="H62" s="682">
        <v>0.05</v>
      </c>
      <c r="I62" s="681">
        <v>37500</v>
      </c>
      <c r="J62" s="682">
        <v>0.05</v>
      </c>
      <c r="K62" s="681">
        <v>37500</v>
      </c>
      <c r="L62" s="682">
        <v>0.05</v>
      </c>
      <c r="M62" s="681">
        <v>37500</v>
      </c>
      <c r="N62" s="682">
        <v>0.05</v>
      </c>
      <c r="O62" s="681">
        <v>37500</v>
      </c>
      <c r="P62" s="682">
        <v>0.05</v>
      </c>
      <c r="Q62" s="681">
        <v>37500</v>
      </c>
      <c r="R62" s="682">
        <v>0.05</v>
      </c>
      <c r="S62" s="681">
        <v>37500</v>
      </c>
      <c r="T62" s="682">
        <v>0.05</v>
      </c>
      <c r="U62" s="681">
        <v>37500</v>
      </c>
      <c r="V62" s="682">
        <v>0.05</v>
      </c>
      <c r="W62" s="681">
        <v>37500</v>
      </c>
      <c r="X62" s="682">
        <v>0.05</v>
      </c>
      <c r="Y62" s="681">
        <v>37500</v>
      </c>
      <c r="Z62" s="682">
        <v>0.05</v>
      </c>
      <c r="AA62" s="681">
        <v>37500</v>
      </c>
      <c r="AB62" s="682">
        <v>0.05</v>
      </c>
      <c r="AC62" s="681">
        <v>37500</v>
      </c>
      <c r="AD62" s="682">
        <v>0.05</v>
      </c>
      <c r="AE62" s="681">
        <v>37500</v>
      </c>
      <c r="AF62" s="682">
        <v>0.04</v>
      </c>
      <c r="AG62" s="681">
        <v>37500</v>
      </c>
      <c r="AH62" s="682">
        <v>0.04</v>
      </c>
      <c r="AI62" s="681">
        <v>37500</v>
      </c>
      <c r="AJ62" s="682">
        <v>0.04</v>
      </c>
      <c r="AK62" s="699"/>
      <c r="AL62" s="699"/>
      <c r="AM62" s="699"/>
      <c r="AN62" s="699"/>
      <c r="AO62" s="699"/>
      <c r="AP62" s="699"/>
      <c r="AQ62" s="699"/>
      <c r="AR62" s="699"/>
      <c r="AS62" s="753"/>
      <c r="AT62" s="699"/>
    </row>
    <row r="63" spans="1:46" s="459" customFormat="1" thickBot="1">
      <c r="A63" s="1032" t="s">
        <v>39</v>
      </c>
      <c r="B63" s="1044" t="s">
        <v>39</v>
      </c>
      <c r="C63" s="683"/>
      <c r="D63" s="683"/>
      <c r="E63" s="683"/>
      <c r="F63" s="683"/>
      <c r="G63" s="683"/>
      <c r="H63" s="683"/>
      <c r="I63" s="683"/>
      <c r="J63" s="683"/>
      <c r="K63" s="683"/>
      <c r="L63" s="683"/>
      <c r="M63" s="683"/>
      <c r="N63" s="683"/>
      <c r="O63" s="475">
        <v>178622.4</v>
      </c>
      <c r="P63" s="683">
        <v>0.17</v>
      </c>
      <c r="Q63" s="698"/>
      <c r="R63" s="699"/>
      <c r="S63" s="698"/>
      <c r="T63" s="699"/>
      <c r="U63" s="698"/>
      <c r="V63" s="699"/>
      <c r="W63" s="698"/>
      <c r="X63" s="699"/>
      <c r="Y63" s="698"/>
      <c r="Z63" s="699"/>
      <c r="AA63" s="698"/>
      <c r="AB63" s="699"/>
      <c r="AC63" s="698"/>
      <c r="AD63" s="699"/>
      <c r="AE63" s="698"/>
      <c r="AF63" s="699"/>
      <c r="AG63" s="698"/>
      <c r="AH63" s="699"/>
      <c r="AI63" s="698"/>
      <c r="AJ63" s="699"/>
      <c r="AK63" s="698"/>
      <c r="AL63" s="699"/>
      <c r="AM63" s="698"/>
      <c r="AN63" s="699"/>
      <c r="AO63" s="698"/>
      <c r="AP63" s="699"/>
      <c r="AQ63" s="698"/>
      <c r="AR63" s="699"/>
      <c r="AS63" s="754"/>
      <c r="AT63" s="699"/>
    </row>
    <row r="64" spans="1:46" ht="16.5" thickBot="1">
      <c r="A64" s="1018"/>
      <c r="B64" s="1019"/>
      <c r="C64" s="684">
        <f t="shared" ref="C64:H64" si="84">SUM(C36:C63)</f>
        <v>5136203.7300000014</v>
      </c>
      <c r="D64" s="684">
        <f t="shared" si="84"/>
        <v>4.9300000000000006</v>
      </c>
      <c r="E64" s="684">
        <f t="shared" si="84"/>
        <v>5039001.25</v>
      </c>
      <c r="F64" s="684">
        <f t="shared" si="84"/>
        <v>4.87</v>
      </c>
      <c r="G64" s="684">
        <f t="shared" si="84"/>
        <v>5040966.0900000008</v>
      </c>
      <c r="H64" s="684">
        <f t="shared" si="84"/>
        <v>4.88</v>
      </c>
      <c r="I64" s="684">
        <f t="shared" ref="I64:J64" si="85">SUM(I36:I63)</f>
        <v>5042930.88</v>
      </c>
      <c r="J64" s="684">
        <f t="shared" si="85"/>
        <v>4.88</v>
      </c>
      <c r="K64" s="684">
        <f t="shared" ref="K64:L64" si="86">SUM(K36:K63)</f>
        <v>4966530.63</v>
      </c>
      <c r="L64" s="684">
        <f t="shared" si="86"/>
        <v>4.7999999999999989</v>
      </c>
      <c r="M64" s="684">
        <f t="shared" ref="M64:N64" si="87">SUM(M36:M63)</f>
        <v>4972885.2899999991</v>
      </c>
      <c r="N64" s="684">
        <f t="shared" si="87"/>
        <v>4.7999999999999989</v>
      </c>
      <c r="O64" s="684">
        <f t="shared" ref="O64:P64" si="88">SUM(O36:O63)</f>
        <v>5153472.5100000007</v>
      </c>
      <c r="P64" s="684">
        <f t="shared" si="88"/>
        <v>4.9799999999999978</v>
      </c>
      <c r="Q64" s="684">
        <f t="shared" ref="Q64:R64" si="89">SUM(Q36:Q63)</f>
        <v>4976814.9399999995</v>
      </c>
      <c r="R64" s="684">
        <f t="shared" si="89"/>
        <v>4.8099999999999978</v>
      </c>
      <c r="S64" s="684">
        <f t="shared" ref="S64:T64" si="90">SUM(S36:S63)</f>
        <v>4978779.7700000005</v>
      </c>
      <c r="T64" s="684">
        <f t="shared" si="90"/>
        <v>4.8099999999999987</v>
      </c>
      <c r="U64" s="684">
        <f t="shared" ref="U64:V64" si="91">SUM(U36:U63)</f>
        <v>4984674.2299999995</v>
      </c>
      <c r="V64" s="684">
        <f t="shared" si="91"/>
        <v>4.8199999999999985</v>
      </c>
      <c r="W64" s="684">
        <f t="shared" ref="W64:X64" si="92">SUM(W36:W63)</f>
        <v>4977786.57</v>
      </c>
      <c r="X64" s="684">
        <f t="shared" si="92"/>
        <v>4.8099999999999987</v>
      </c>
      <c r="Y64" s="684">
        <f t="shared" ref="Y64:Z64" si="93">SUM(Y36:Y63)</f>
        <v>4977107.45</v>
      </c>
      <c r="Z64" s="684">
        <f t="shared" si="93"/>
        <v>4.8</v>
      </c>
      <c r="AA64" s="684">
        <f t="shared" ref="AA64:AB64" si="94">SUM(AA36:AA63)</f>
        <v>4988384.3499999996</v>
      </c>
      <c r="AB64" s="684">
        <f t="shared" si="94"/>
        <v>4.7999999999999989</v>
      </c>
      <c r="AC64" s="684">
        <f t="shared" ref="AC64:AD64" si="95">SUM(AC36:AC63)</f>
        <v>4956844.3200000012</v>
      </c>
      <c r="AD64" s="684">
        <f t="shared" si="95"/>
        <v>4.7699999999999987</v>
      </c>
      <c r="AE64" s="684">
        <f t="shared" ref="AE64:AF64" si="96">SUM(AE36:AE63)</f>
        <v>4962984.1399999997</v>
      </c>
      <c r="AF64" s="684">
        <f t="shared" si="96"/>
        <v>4.7699999999999987</v>
      </c>
      <c r="AG64" s="684">
        <f t="shared" ref="AG64:AJ64" si="97">SUM(AG36:AG63)</f>
        <v>4965030.74</v>
      </c>
      <c r="AH64" s="684">
        <f t="shared" si="97"/>
        <v>4.7699999999999987</v>
      </c>
      <c r="AI64" s="684">
        <f t="shared" si="97"/>
        <v>4967077.3499999996</v>
      </c>
      <c r="AJ64" s="684">
        <f t="shared" si="97"/>
        <v>4.7799999999999976</v>
      </c>
      <c r="AK64" s="684">
        <f t="shared" ref="AK64:AL64" si="98">SUM(AK36:AK63)</f>
        <v>4931623.9399999985</v>
      </c>
      <c r="AL64" s="684">
        <f t="shared" si="98"/>
        <v>4.7399999999999984</v>
      </c>
      <c r="AM64" s="684">
        <f t="shared" ref="AM64:AN64" si="99">SUM(AM36:AM63)</f>
        <v>4933670.53</v>
      </c>
      <c r="AN64" s="684">
        <f t="shared" si="99"/>
        <v>4.7499999999999982</v>
      </c>
      <c r="AO64" s="684">
        <f t="shared" ref="AO64:AP64" si="100">SUM(AO36:AO63)</f>
        <v>4886700.54</v>
      </c>
      <c r="AP64" s="684">
        <f t="shared" si="100"/>
        <v>4.6999999999999993</v>
      </c>
      <c r="AQ64" s="684">
        <f t="shared" ref="AQ64:AR64" si="101">SUM(AQ36:AQ63)</f>
        <v>4888747.13</v>
      </c>
      <c r="AR64" s="684">
        <f t="shared" si="101"/>
        <v>4.7099999999999991</v>
      </c>
      <c r="AS64" s="626">
        <f t="shared" ref="AS64:AT64" si="102">SUM(AS36:AS63)</f>
        <v>5009189.4800000004</v>
      </c>
      <c r="AT64" s="684">
        <f t="shared" si="102"/>
        <v>4.8299999999999992</v>
      </c>
    </row>
    <row r="65" spans="1:46">
      <c r="B65" s="142" t="s">
        <v>59</v>
      </c>
      <c r="C65" s="685">
        <f>C9+C15+C18</f>
        <v>66471569.920000002</v>
      </c>
      <c r="D65" s="686">
        <f>D9+D15</f>
        <v>62.309999999999995</v>
      </c>
      <c r="E65" s="685">
        <f>E9+E15+E18</f>
        <v>66369601.349999994</v>
      </c>
      <c r="F65" s="686">
        <f>F9+F15</f>
        <v>62.31</v>
      </c>
      <c r="G65" s="685">
        <f>G9+G15+G18</f>
        <v>66498772.170000002</v>
      </c>
      <c r="H65" s="686">
        <f>H9+H15</f>
        <v>62.690000000000012</v>
      </c>
      <c r="I65" s="685">
        <f>I9+I15+I18</f>
        <v>66421413.979999997</v>
      </c>
      <c r="J65" s="686">
        <f>J9+J15</f>
        <v>62.66</v>
      </c>
      <c r="K65" s="685">
        <f>K9+K15+K18</f>
        <v>66424154.179999992</v>
      </c>
      <c r="L65" s="686">
        <f>L9+L15</f>
        <v>62.65</v>
      </c>
      <c r="M65" s="685">
        <f>M9+M15+M18</f>
        <v>66632017.710000001</v>
      </c>
      <c r="N65" s="686">
        <f>N9+N15</f>
        <v>62.709999999999994</v>
      </c>
      <c r="O65" s="685">
        <f>O9+O15+O18</f>
        <v>66509452.799999997</v>
      </c>
      <c r="P65" s="686">
        <f>P9+P15</f>
        <v>62.620000000000005</v>
      </c>
      <c r="Q65" s="685">
        <f>Q9+Q15+Q18</f>
        <v>66539174.890000001</v>
      </c>
      <c r="R65" s="686">
        <f>R9+R15</f>
        <v>62.63</v>
      </c>
      <c r="S65" s="685">
        <f>S9+S15+S18</f>
        <v>66598208.030000001</v>
      </c>
      <c r="T65" s="686">
        <f>T9+T15</f>
        <v>62.649999999999991</v>
      </c>
      <c r="U65" s="685">
        <f>U9+U15+U18</f>
        <v>66606415.309999995</v>
      </c>
      <c r="V65" s="686">
        <f>V9+V15</f>
        <v>62.65</v>
      </c>
      <c r="W65" s="685">
        <f>W9+W15+W18</f>
        <v>66638578.780000001</v>
      </c>
      <c r="X65" s="686">
        <f>X9+X15</f>
        <v>62.66</v>
      </c>
      <c r="Y65" s="685">
        <f>Y9+Y15+Y18</f>
        <v>66022200.439999998</v>
      </c>
      <c r="Z65" s="686">
        <f>Z9+Z15</f>
        <v>61.96</v>
      </c>
      <c r="AA65" s="685">
        <f>AA9+AA15+AA18</f>
        <v>66048903.030000001</v>
      </c>
      <c r="AB65" s="686">
        <f>AB9+AB15</f>
        <v>61.970000000000006</v>
      </c>
      <c r="AC65" s="685">
        <f>AC9+AC15+AC18</f>
        <v>66094802.020000003</v>
      </c>
      <c r="AD65" s="686">
        <f>AD9+AD15</f>
        <v>61.98</v>
      </c>
      <c r="AE65" s="685">
        <f>AE9+AE15+AE18</f>
        <v>66227002.990000002</v>
      </c>
      <c r="AF65" s="686">
        <f>AF9+AF15</f>
        <v>62.03</v>
      </c>
      <c r="AG65" s="685">
        <f>AG9+AG15+AG18</f>
        <v>66156005.208200008</v>
      </c>
      <c r="AH65" s="686">
        <f>AH9+AH15</f>
        <v>62</v>
      </c>
      <c r="AI65" s="685">
        <f>AI9+AI15+AI18</f>
        <v>66184265.050000004</v>
      </c>
      <c r="AJ65" s="686">
        <f>AJ9+AJ15</f>
        <v>62.01</v>
      </c>
      <c r="AK65" s="685">
        <f>AK9+AK15+AK18</f>
        <v>66222450.680000007</v>
      </c>
      <c r="AL65" s="686">
        <f>AL9+AL15</f>
        <v>62.06</v>
      </c>
      <c r="AM65" s="685">
        <f>AM9+AM15+AM18</f>
        <v>66201351.149999991</v>
      </c>
      <c r="AN65" s="686">
        <f>AN9+AN15</f>
        <v>62.050000000000004</v>
      </c>
      <c r="AO65" s="685">
        <f>AO9+AO15+AO18</f>
        <v>66292681.020000003</v>
      </c>
      <c r="AP65" s="686">
        <f>AP9+AP15</f>
        <v>62.08</v>
      </c>
      <c r="AQ65" s="685">
        <f>AQ9+AQ15+AQ18</f>
        <v>66133683.599999994</v>
      </c>
      <c r="AR65" s="686">
        <f>AR9+AR15</f>
        <v>62.019999999999996</v>
      </c>
      <c r="AS65" s="627">
        <f>AS9+AS15+AS18</f>
        <v>66164387.539999999</v>
      </c>
      <c r="AT65" s="686">
        <f>AT9+AT15</f>
        <v>61.98</v>
      </c>
    </row>
    <row r="66" spans="1:46">
      <c r="A66" s="145"/>
      <c r="B66" s="145" t="s">
        <v>109</v>
      </c>
      <c r="C66" s="687">
        <f t="shared" ref="C66:H66" si="103">C33</f>
        <v>25324892.25</v>
      </c>
      <c r="D66" s="688">
        <f t="shared" si="103"/>
        <v>24.369999999999997</v>
      </c>
      <c r="E66" s="687">
        <f t="shared" si="103"/>
        <v>25330593.370000001</v>
      </c>
      <c r="F66" s="688">
        <f t="shared" si="103"/>
        <v>24.42</v>
      </c>
      <c r="G66" s="687">
        <f t="shared" si="103"/>
        <v>24817240.120000001</v>
      </c>
      <c r="H66" s="688">
        <f t="shared" si="103"/>
        <v>24.009999999999998</v>
      </c>
      <c r="I66" s="687">
        <f t="shared" ref="I66:J66" si="104">I33</f>
        <v>24817440.120000001</v>
      </c>
      <c r="J66" s="688">
        <f t="shared" si="104"/>
        <v>24.03</v>
      </c>
      <c r="K66" s="687">
        <f t="shared" ref="K66:L66" si="105">K33</f>
        <v>24913528.59</v>
      </c>
      <c r="L66" s="688">
        <f t="shared" si="105"/>
        <v>24.119999999999997</v>
      </c>
      <c r="M66" s="687">
        <f t="shared" ref="M66:N66" si="106">M33</f>
        <v>24912698.52</v>
      </c>
      <c r="N66" s="688">
        <f t="shared" si="106"/>
        <v>24.07</v>
      </c>
      <c r="O66" s="687">
        <f t="shared" ref="O66:P66" si="107">O33</f>
        <v>24811454.100000001</v>
      </c>
      <c r="P66" s="688">
        <f t="shared" si="107"/>
        <v>23.979999999999997</v>
      </c>
      <c r="Q66" s="687">
        <f t="shared" ref="Q66:R66" si="108">Q33</f>
        <v>24990974.100000001</v>
      </c>
      <c r="R66" s="688">
        <f t="shared" si="108"/>
        <v>24.14</v>
      </c>
      <c r="S66" s="687">
        <f t="shared" ref="S66:T66" si="109">S33</f>
        <v>24992099.100000001</v>
      </c>
      <c r="T66" s="688">
        <f t="shared" si="109"/>
        <v>24.13</v>
      </c>
      <c r="U66" s="687">
        <f t="shared" ref="U66:V66" si="110">U33</f>
        <v>24992099.100000001</v>
      </c>
      <c r="V66" s="688">
        <f t="shared" si="110"/>
        <v>24.13</v>
      </c>
      <c r="W66" s="687">
        <f t="shared" ref="W66:X66" si="111">W33</f>
        <v>24992099.100000001</v>
      </c>
      <c r="X66" s="688">
        <f t="shared" si="111"/>
        <v>24.12</v>
      </c>
      <c r="Y66" s="687">
        <f t="shared" ref="Y66:Z66" si="112">Y33</f>
        <v>25798470.859999999</v>
      </c>
      <c r="Z66" s="688">
        <f t="shared" si="112"/>
        <v>24.85</v>
      </c>
      <c r="AA66" s="687">
        <f t="shared" ref="AA66:AB66" si="113">AA33</f>
        <v>25792605.859999999</v>
      </c>
      <c r="AB66" s="688">
        <f t="shared" si="113"/>
        <v>24.840000000000003</v>
      </c>
      <c r="AC66" s="687">
        <f t="shared" ref="AC66:AD66" si="114">AC33</f>
        <v>25826361.259999998</v>
      </c>
      <c r="AD66" s="688">
        <f t="shared" si="114"/>
        <v>24.86</v>
      </c>
      <c r="AE66" s="687">
        <f t="shared" ref="AE66:AF66" si="115">AE33</f>
        <v>25826361.259999998</v>
      </c>
      <c r="AF66" s="688">
        <f t="shared" si="115"/>
        <v>24.83</v>
      </c>
      <c r="AG66" s="687">
        <f t="shared" ref="AG66:AJ66" si="116">AG33</f>
        <v>25826361.259999998</v>
      </c>
      <c r="AH66" s="688">
        <f t="shared" si="116"/>
        <v>24.85</v>
      </c>
      <c r="AI66" s="687">
        <f t="shared" si="116"/>
        <v>25826361.259999998</v>
      </c>
      <c r="AJ66" s="688">
        <f t="shared" si="116"/>
        <v>24.83</v>
      </c>
      <c r="AK66" s="687">
        <f t="shared" ref="AK66:AL66" si="117">AK33</f>
        <v>25800836.390000001</v>
      </c>
      <c r="AL66" s="688">
        <f t="shared" si="117"/>
        <v>24.82</v>
      </c>
      <c r="AM66" s="687">
        <f t="shared" ref="AM66:AN66" si="118">AM33</f>
        <v>25800836.390000001</v>
      </c>
      <c r="AN66" s="688">
        <f t="shared" si="118"/>
        <v>24.82</v>
      </c>
      <c r="AO66" s="687">
        <f t="shared" ref="AO66:AP66" si="119">AO33</f>
        <v>25856551.579999998</v>
      </c>
      <c r="AP66" s="688">
        <f t="shared" si="119"/>
        <v>24.85</v>
      </c>
      <c r="AQ66" s="687">
        <f t="shared" ref="AQ66:AR66" si="120">AQ33</f>
        <v>25856551.579999998</v>
      </c>
      <c r="AR66" s="688">
        <f t="shared" si="120"/>
        <v>24.89</v>
      </c>
      <c r="AS66" s="628">
        <f t="shared" ref="AS66:AT66" si="121">AS33</f>
        <v>25819051.579999998</v>
      </c>
      <c r="AT66" s="688">
        <f t="shared" si="121"/>
        <v>24.83</v>
      </c>
    </row>
    <row r="67" spans="1:46">
      <c r="B67" s="145" t="s">
        <v>110</v>
      </c>
      <c r="C67" s="687">
        <f t="shared" ref="C67:H67" si="122">C22</f>
        <v>7005983.7000000002</v>
      </c>
      <c r="D67" s="688">
        <f t="shared" si="122"/>
        <v>6.74</v>
      </c>
      <c r="E67" s="687">
        <f t="shared" si="122"/>
        <v>7005983.7000000002</v>
      </c>
      <c r="F67" s="688">
        <f t="shared" si="122"/>
        <v>6.75</v>
      </c>
      <c r="G67" s="687">
        <f t="shared" si="122"/>
        <v>7005983.7000000002</v>
      </c>
      <c r="H67" s="688">
        <f t="shared" si="122"/>
        <v>6.7799999999999994</v>
      </c>
      <c r="I67" s="687">
        <f t="shared" ref="I67:J67" si="123">I22</f>
        <v>7005983.7000000002</v>
      </c>
      <c r="J67" s="688">
        <f t="shared" si="123"/>
        <v>6.7799999999999994</v>
      </c>
      <c r="K67" s="687">
        <f t="shared" ref="K67:L67" si="124">K22</f>
        <v>7005983.7000000002</v>
      </c>
      <c r="L67" s="688">
        <f t="shared" si="124"/>
        <v>6.7799999999999994</v>
      </c>
      <c r="M67" s="687">
        <f t="shared" ref="M67:N67" si="125">M22</f>
        <v>7005983.7000000002</v>
      </c>
      <c r="N67" s="688">
        <f t="shared" si="125"/>
        <v>6.77</v>
      </c>
      <c r="O67" s="687">
        <f t="shared" ref="O67:P67" si="126">O22</f>
        <v>7005983.7000000002</v>
      </c>
      <c r="P67" s="688">
        <f t="shared" si="126"/>
        <v>6.77</v>
      </c>
      <c r="Q67" s="687">
        <f t="shared" ref="Q67:R67" si="127">Q22</f>
        <v>7005983.7000000002</v>
      </c>
      <c r="R67" s="688">
        <f t="shared" si="127"/>
        <v>6.77</v>
      </c>
      <c r="S67" s="687">
        <f t="shared" ref="S67:T67" si="128">S22</f>
        <v>7005983.7000000002</v>
      </c>
      <c r="T67" s="688">
        <f t="shared" si="128"/>
        <v>6.77</v>
      </c>
      <c r="U67" s="687">
        <f t="shared" ref="U67:V67" si="129">U22</f>
        <v>7005983.7000000002</v>
      </c>
      <c r="V67" s="688">
        <f t="shared" si="129"/>
        <v>6.76</v>
      </c>
      <c r="W67" s="687">
        <f t="shared" ref="W67:X67" si="130">W22</f>
        <v>7005983.7000000002</v>
      </c>
      <c r="X67" s="688">
        <f t="shared" si="130"/>
        <v>6.76</v>
      </c>
      <c r="Y67" s="687">
        <f t="shared" ref="Y67:Z67" si="131">Y22</f>
        <v>7005983.7000000002</v>
      </c>
      <c r="Z67" s="688">
        <f t="shared" si="131"/>
        <v>6.75</v>
      </c>
      <c r="AA67" s="687">
        <f t="shared" ref="AA67:AB67" si="132">AA22</f>
        <v>7005983.7000000002</v>
      </c>
      <c r="AB67" s="688">
        <f t="shared" si="132"/>
        <v>6.75</v>
      </c>
      <c r="AC67" s="687">
        <f t="shared" ref="AC67:AD67" si="133">AC22</f>
        <v>7005983.7000000002</v>
      </c>
      <c r="AD67" s="688">
        <f t="shared" si="133"/>
        <v>6.75</v>
      </c>
      <c r="AE67" s="687">
        <f t="shared" ref="AE67:AF67" si="134">AE22</f>
        <v>7005983.7000000002</v>
      </c>
      <c r="AF67" s="688">
        <f t="shared" si="134"/>
        <v>6.7299999999999995</v>
      </c>
      <c r="AG67" s="687">
        <f t="shared" ref="AG67:AJ67" si="135">AG22</f>
        <v>7005983.7000000002</v>
      </c>
      <c r="AH67" s="688">
        <f t="shared" si="135"/>
        <v>6.74</v>
      </c>
      <c r="AI67" s="687">
        <f t="shared" si="135"/>
        <v>7005983.7000000002</v>
      </c>
      <c r="AJ67" s="688">
        <f t="shared" si="135"/>
        <v>6.74</v>
      </c>
      <c r="AK67" s="687">
        <f t="shared" ref="AK67:AL67" si="136">AK22</f>
        <v>7005983.7000000002</v>
      </c>
      <c r="AL67" s="688">
        <f t="shared" si="136"/>
        <v>6.74</v>
      </c>
      <c r="AM67" s="687">
        <f t="shared" ref="AM67:AN67" si="137">AM22</f>
        <v>7005983.7000000002</v>
      </c>
      <c r="AN67" s="688">
        <f t="shared" si="137"/>
        <v>6.74</v>
      </c>
      <c r="AO67" s="687">
        <f t="shared" ref="AO67:AP67" si="138">AO22</f>
        <v>7005983.7000000002</v>
      </c>
      <c r="AP67" s="688">
        <f t="shared" si="138"/>
        <v>6.7299999999999995</v>
      </c>
      <c r="AQ67" s="687">
        <f t="shared" ref="AQ67:AR67" si="139">AQ22</f>
        <v>7005983.7000000002</v>
      </c>
      <c r="AR67" s="688">
        <f t="shared" si="139"/>
        <v>6.74</v>
      </c>
      <c r="AS67" s="628">
        <f t="shared" ref="AS67:AT67" si="140">AS22</f>
        <v>7005983.7000000002</v>
      </c>
      <c r="AT67" s="688">
        <f t="shared" si="140"/>
        <v>6.7299999999999995</v>
      </c>
    </row>
    <row r="68" spans="1:46">
      <c r="B68" s="145" t="s">
        <v>122</v>
      </c>
      <c r="C68" s="687"/>
      <c r="D68" s="687">
        <f>D18</f>
        <v>1.65</v>
      </c>
      <c r="E68" s="687"/>
      <c r="F68" s="687">
        <f>F18</f>
        <v>1.65</v>
      </c>
      <c r="G68" s="687"/>
      <c r="H68" s="687">
        <f>H18</f>
        <v>1.65</v>
      </c>
      <c r="I68" s="687"/>
      <c r="J68" s="687">
        <f>J18</f>
        <v>1.65</v>
      </c>
      <c r="K68" s="687"/>
      <c r="L68" s="687">
        <f>L18</f>
        <v>1.65</v>
      </c>
      <c r="M68" s="687"/>
      <c r="N68" s="687">
        <f>N18</f>
        <v>1.65</v>
      </c>
      <c r="O68" s="687"/>
      <c r="P68" s="687">
        <f>P18</f>
        <v>1.65</v>
      </c>
      <c r="Q68" s="687"/>
      <c r="R68" s="687">
        <f>R18</f>
        <v>1.65</v>
      </c>
      <c r="S68" s="687"/>
      <c r="T68" s="687">
        <f>T18</f>
        <v>1.64</v>
      </c>
      <c r="U68" s="687"/>
      <c r="V68" s="687">
        <f>V18</f>
        <v>1.64</v>
      </c>
      <c r="W68" s="687"/>
      <c r="X68" s="687">
        <f>X18</f>
        <v>1.65</v>
      </c>
      <c r="Y68" s="687"/>
      <c r="Z68" s="687">
        <f>Z18</f>
        <v>1.64</v>
      </c>
      <c r="AA68" s="687"/>
      <c r="AB68" s="687">
        <f>AB18</f>
        <v>1.64</v>
      </c>
      <c r="AC68" s="687"/>
      <c r="AD68" s="687">
        <f>AD18</f>
        <v>1.64</v>
      </c>
      <c r="AE68" s="687"/>
      <c r="AF68" s="687">
        <f>AF18</f>
        <v>1.64</v>
      </c>
      <c r="AG68" s="687"/>
      <c r="AH68" s="687">
        <f>AH18</f>
        <v>1.64</v>
      </c>
      <c r="AI68" s="687"/>
      <c r="AJ68" s="687">
        <f>AJ18</f>
        <v>1.64</v>
      </c>
      <c r="AK68" s="687"/>
      <c r="AL68" s="687">
        <f>AL18</f>
        <v>1.64</v>
      </c>
      <c r="AM68" s="687"/>
      <c r="AN68" s="687">
        <f>AN18</f>
        <v>1.64</v>
      </c>
      <c r="AO68" s="687"/>
      <c r="AP68" s="687">
        <f>AP18</f>
        <v>1.64</v>
      </c>
      <c r="AQ68" s="687"/>
      <c r="AR68" s="687">
        <f>AR18</f>
        <v>1.64</v>
      </c>
      <c r="AS68" s="628"/>
      <c r="AT68" s="687">
        <f>AT18</f>
        <v>1.64</v>
      </c>
    </row>
    <row r="69" spans="1:46" ht="16.5" thickBot="1">
      <c r="A69" s="1037"/>
      <c r="B69" s="1038"/>
      <c r="C69" s="689">
        <f t="shared" ref="C69:D69" si="141">C64</f>
        <v>5136203.7300000014</v>
      </c>
      <c r="D69" s="690">
        <f t="shared" si="141"/>
        <v>4.9300000000000006</v>
      </c>
      <c r="E69" s="689">
        <f t="shared" ref="E69:F69" si="142">E64</f>
        <v>5039001.25</v>
      </c>
      <c r="F69" s="690">
        <f t="shared" si="142"/>
        <v>4.87</v>
      </c>
      <c r="G69" s="689">
        <f t="shared" ref="G69:H69" si="143">G64</f>
        <v>5040966.0900000008</v>
      </c>
      <c r="H69" s="690">
        <f t="shared" si="143"/>
        <v>4.88</v>
      </c>
      <c r="I69" s="689">
        <f t="shared" ref="I69:J69" si="144">I64</f>
        <v>5042930.88</v>
      </c>
      <c r="J69" s="690">
        <f t="shared" si="144"/>
        <v>4.88</v>
      </c>
      <c r="K69" s="689">
        <f t="shared" ref="K69:L69" si="145">K64</f>
        <v>4966530.63</v>
      </c>
      <c r="L69" s="690">
        <f t="shared" si="145"/>
        <v>4.7999999999999989</v>
      </c>
      <c r="M69" s="689">
        <f t="shared" ref="M69:N69" si="146">M64</f>
        <v>4972885.2899999991</v>
      </c>
      <c r="N69" s="690">
        <f t="shared" si="146"/>
        <v>4.7999999999999989</v>
      </c>
      <c r="O69" s="689">
        <f t="shared" ref="O69:P69" si="147">O64</f>
        <v>5153472.5100000007</v>
      </c>
      <c r="P69" s="690">
        <f t="shared" si="147"/>
        <v>4.9799999999999978</v>
      </c>
      <c r="Q69" s="689">
        <f t="shared" ref="Q69:R69" si="148">Q64</f>
        <v>4976814.9399999995</v>
      </c>
      <c r="R69" s="690">
        <f t="shared" si="148"/>
        <v>4.8099999999999978</v>
      </c>
      <c r="S69" s="689">
        <f t="shared" ref="S69:T69" si="149">S64</f>
        <v>4978779.7700000005</v>
      </c>
      <c r="T69" s="690">
        <f t="shared" si="149"/>
        <v>4.8099999999999987</v>
      </c>
      <c r="U69" s="689">
        <f t="shared" ref="U69:V69" si="150">U64</f>
        <v>4984674.2299999995</v>
      </c>
      <c r="V69" s="690">
        <f t="shared" si="150"/>
        <v>4.8199999999999985</v>
      </c>
      <c r="W69" s="689">
        <f t="shared" ref="W69:X69" si="151">W64</f>
        <v>4977786.57</v>
      </c>
      <c r="X69" s="690">
        <f t="shared" si="151"/>
        <v>4.8099999999999987</v>
      </c>
      <c r="Y69" s="689">
        <f t="shared" ref="Y69:Z69" si="152">Y64</f>
        <v>4977107.45</v>
      </c>
      <c r="Z69" s="690">
        <f t="shared" si="152"/>
        <v>4.8</v>
      </c>
      <c r="AA69" s="689">
        <f t="shared" ref="AA69:AB69" si="153">AA64</f>
        <v>4988384.3499999996</v>
      </c>
      <c r="AB69" s="690">
        <f t="shared" si="153"/>
        <v>4.7999999999999989</v>
      </c>
      <c r="AC69" s="689">
        <f t="shared" ref="AC69:AD69" si="154">AC64</f>
        <v>4956844.3200000012</v>
      </c>
      <c r="AD69" s="690">
        <f t="shared" si="154"/>
        <v>4.7699999999999987</v>
      </c>
      <c r="AE69" s="689">
        <f t="shared" ref="AE69:AF69" si="155">AE64</f>
        <v>4962984.1399999997</v>
      </c>
      <c r="AF69" s="690">
        <f t="shared" si="155"/>
        <v>4.7699999999999987</v>
      </c>
      <c r="AG69" s="689">
        <f t="shared" ref="AG69:AJ69" si="156">AG64</f>
        <v>4965030.74</v>
      </c>
      <c r="AH69" s="690">
        <f t="shared" si="156"/>
        <v>4.7699999999999987</v>
      </c>
      <c r="AI69" s="689">
        <f t="shared" si="156"/>
        <v>4967077.3499999996</v>
      </c>
      <c r="AJ69" s="690">
        <f t="shared" si="156"/>
        <v>4.7799999999999976</v>
      </c>
      <c r="AK69" s="689">
        <f t="shared" ref="AK69:AL69" si="157">AK64</f>
        <v>4931623.9399999985</v>
      </c>
      <c r="AL69" s="690">
        <f t="shared" si="157"/>
        <v>4.7399999999999984</v>
      </c>
      <c r="AM69" s="689">
        <f t="shared" ref="AM69:AN69" si="158">AM64</f>
        <v>4933670.53</v>
      </c>
      <c r="AN69" s="690">
        <f t="shared" si="158"/>
        <v>4.7499999999999982</v>
      </c>
      <c r="AO69" s="689">
        <f t="shared" ref="AO69:AP69" si="159">AO64</f>
        <v>4886700.54</v>
      </c>
      <c r="AP69" s="690">
        <f t="shared" si="159"/>
        <v>4.6999999999999993</v>
      </c>
      <c r="AQ69" s="689">
        <f t="shared" ref="AQ69:AR69" si="160">AQ64</f>
        <v>4888747.13</v>
      </c>
      <c r="AR69" s="690">
        <f t="shared" si="160"/>
        <v>4.7099999999999991</v>
      </c>
      <c r="AS69" s="629">
        <f t="shared" ref="AS69:AT69" si="161">AS64</f>
        <v>5009189.4800000004</v>
      </c>
      <c r="AT69" s="690">
        <f t="shared" si="161"/>
        <v>4.8299999999999992</v>
      </c>
    </row>
    <row r="70" spans="1:46" ht="16.5" thickBot="1">
      <c r="A70" s="151"/>
      <c r="B70" s="152" t="s">
        <v>111</v>
      </c>
      <c r="C70" s="691">
        <f t="shared" ref="C70:D70" si="162">SUM(C65:C69)</f>
        <v>103938649.60000001</v>
      </c>
      <c r="D70" s="691">
        <f t="shared" si="162"/>
        <v>100</v>
      </c>
      <c r="E70" s="691">
        <f t="shared" ref="E70:F70" si="163">SUM(E65:E69)</f>
        <v>103745179.67</v>
      </c>
      <c r="F70" s="691">
        <f t="shared" si="163"/>
        <v>100.00000000000001</v>
      </c>
      <c r="G70" s="691">
        <f t="shared" ref="G70:H70" si="164">SUM(G65:G69)</f>
        <v>103362962.08000001</v>
      </c>
      <c r="H70" s="691">
        <f t="shared" si="164"/>
        <v>100.01000000000002</v>
      </c>
      <c r="I70" s="691">
        <f t="shared" ref="I70:J70" si="165">SUM(I65:I69)</f>
        <v>103287768.67999999</v>
      </c>
      <c r="J70" s="691">
        <f t="shared" si="165"/>
        <v>100</v>
      </c>
      <c r="K70" s="691">
        <f t="shared" ref="K70:L70" si="166">SUM(K65:K69)</f>
        <v>103310197.09999999</v>
      </c>
      <c r="L70" s="691">
        <f t="shared" si="166"/>
        <v>100</v>
      </c>
      <c r="M70" s="691">
        <f t="shared" ref="M70:N70" si="167">SUM(M65:M69)</f>
        <v>103523585.22</v>
      </c>
      <c r="N70" s="691">
        <f t="shared" si="167"/>
        <v>100</v>
      </c>
      <c r="O70" s="691">
        <f t="shared" ref="O70:P70" si="168">SUM(O65:O69)</f>
        <v>103480363.11000001</v>
      </c>
      <c r="P70" s="691">
        <f t="shared" si="168"/>
        <v>100</v>
      </c>
      <c r="Q70" s="691">
        <f t="shared" ref="Q70:R70" si="169">SUM(Q65:Q69)</f>
        <v>103512947.63000001</v>
      </c>
      <c r="R70" s="691">
        <f t="shared" si="169"/>
        <v>100.00000000000001</v>
      </c>
      <c r="S70" s="691">
        <f t="shared" ref="S70:T70" si="170">SUM(S65:S69)</f>
        <v>103575070.59999999</v>
      </c>
      <c r="T70" s="691">
        <f t="shared" si="170"/>
        <v>99.999999999999986</v>
      </c>
      <c r="U70" s="691">
        <f t="shared" ref="U70:V70" si="171">SUM(U65:U69)</f>
        <v>103589172.34</v>
      </c>
      <c r="V70" s="691">
        <f t="shared" si="171"/>
        <v>100</v>
      </c>
      <c r="W70" s="691">
        <f t="shared" ref="W70:X70" si="172">SUM(W65:W69)</f>
        <v>103614448.15000001</v>
      </c>
      <c r="X70" s="691">
        <f t="shared" si="172"/>
        <v>100.00000000000001</v>
      </c>
      <c r="Y70" s="691">
        <f t="shared" ref="Y70:Z70" si="173">SUM(Y65:Y69)</f>
        <v>103803762.45</v>
      </c>
      <c r="Z70" s="691">
        <f t="shared" si="173"/>
        <v>100</v>
      </c>
      <c r="AA70" s="691">
        <f t="shared" ref="AA70:AB70" si="174">SUM(AA65:AA69)</f>
        <v>103835876.94</v>
      </c>
      <c r="AB70" s="691">
        <f t="shared" si="174"/>
        <v>100</v>
      </c>
      <c r="AC70" s="691">
        <f t="shared" ref="AC70:AD70" si="175">SUM(AC65:AC69)</f>
        <v>103883991.30000001</v>
      </c>
      <c r="AD70" s="691">
        <f t="shared" si="175"/>
        <v>100</v>
      </c>
      <c r="AE70" s="691">
        <f t="shared" ref="AE70:AF70" si="176">SUM(AE65:AE69)</f>
        <v>104022332.09</v>
      </c>
      <c r="AF70" s="691">
        <f t="shared" si="176"/>
        <v>100</v>
      </c>
      <c r="AG70" s="691">
        <f t="shared" ref="AG70:AJ70" si="177">SUM(AG65:AG69)</f>
        <v>103953380.9082</v>
      </c>
      <c r="AH70" s="691">
        <f t="shared" si="177"/>
        <v>99.999999999999986</v>
      </c>
      <c r="AI70" s="691">
        <f t="shared" si="177"/>
        <v>103983687.36</v>
      </c>
      <c r="AJ70" s="691">
        <f t="shared" si="177"/>
        <v>100</v>
      </c>
      <c r="AK70" s="691">
        <f t="shared" ref="AK70:AL70" si="178">SUM(AK65:AK69)</f>
        <v>103960894.71000001</v>
      </c>
      <c r="AL70" s="691">
        <f t="shared" si="178"/>
        <v>99.999999999999986</v>
      </c>
      <c r="AM70" s="691">
        <f t="shared" ref="AM70:AN70" si="179">SUM(AM65:AM69)</f>
        <v>103941841.77</v>
      </c>
      <c r="AN70" s="691">
        <f t="shared" si="179"/>
        <v>100</v>
      </c>
      <c r="AO70" s="691">
        <f t="shared" ref="AO70:AP70" si="180">SUM(AO65:AO69)</f>
        <v>104041916.84</v>
      </c>
      <c r="AP70" s="691">
        <f t="shared" si="180"/>
        <v>100.00000000000001</v>
      </c>
      <c r="AQ70" s="691">
        <f t="shared" ref="AQ70:AR70" si="181">SUM(AQ65:AQ69)</f>
        <v>103884966.00999999</v>
      </c>
      <c r="AR70" s="691">
        <f t="shared" si="181"/>
        <v>99.999999999999986</v>
      </c>
      <c r="AS70" s="416">
        <f t="shared" ref="AS70:AT70" si="182">SUM(AS65:AS69)</f>
        <v>103998612.30000001</v>
      </c>
      <c r="AT70" s="691">
        <f t="shared" si="182"/>
        <v>100.01</v>
      </c>
    </row>
  </sheetData>
  <mergeCells count="39">
    <mergeCell ref="AO1:AP1"/>
    <mergeCell ref="AQ1:AR1"/>
    <mergeCell ref="AI1:AJ1"/>
    <mergeCell ref="AE1:AF1"/>
    <mergeCell ref="AG1:AH1"/>
    <mergeCell ref="AM1:AN1"/>
    <mergeCell ref="AK1:AL1"/>
    <mergeCell ref="Q1:R1"/>
    <mergeCell ref="AC1:AD1"/>
    <mergeCell ref="AA1:AB1"/>
    <mergeCell ref="W1:X1"/>
    <mergeCell ref="S1:T1"/>
    <mergeCell ref="U1:V1"/>
    <mergeCell ref="A69:B69"/>
    <mergeCell ref="A50:B50"/>
    <mergeCell ref="A55:B55"/>
    <mergeCell ref="A56:B56"/>
    <mergeCell ref="A57:B57"/>
    <mergeCell ref="A58:B58"/>
    <mergeCell ref="A59:B59"/>
    <mergeCell ref="A64:B64"/>
    <mergeCell ref="A60:B60"/>
    <mergeCell ref="A63:B63"/>
    <mergeCell ref="AS1:AT1"/>
    <mergeCell ref="A35:B35"/>
    <mergeCell ref="C1:D1"/>
    <mergeCell ref="A9:B9"/>
    <mergeCell ref="E1:F1"/>
    <mergeCell ref="O1:P1"/>
    <mergeCell ref="A34:B34"/>
    <mergeCell ref="A33:B33"/>
    <mergeCell ref="K1:L1"/>
    <mergeCell ref="I1:J1"/>
    <mergeCell ref="M1:N1"/>
    <mergeCell ref="G1:H1"/>
    <mergeCell ref="A15:B15"/>
    <mergeCell ref="A18:B18"/>
    <mergeCell ref="A22:B22"/>
    <mergeCell ref="Y1:Z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V69"/>
  <sheetViews>
    <sheetView topLeftCell="A58" zoomScale="130" zoomScaleNormal="130" workbookViewId="0">
      <selection activeCell="B60" sqref="B1:AU1048576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630" customWidth="1"/>
    <col min="4" max="4" width="12.5703125" style="692" customWidth="1"/>
    <col min="5" max="5" width="23.140625" style="630" customWidth="1"/>
    <col min="6" max="6" width="12.5703125" style="692" customWidth="1"/>
    <col min="7" max="7" width="23.140625" style="630" customWidth="1"/>
    <col min="8" max="8" width="12.5703125" style="692" customWidth="1"/>
    <col min="9" max="9" width="23.140625" style="630" customWidth="1"/>
    <col min="10" max="10" width="12.5703125" style="692" customWidth="1"/>
    <col min="11" max="11" width="23.140625" style="630" customWidth="1"/>
    <col min="12" max="12" width="12.5703125" style="692" customWidth="1"/>
    <col min="13" max="13" width="23.140625" style="630" customWidth="1"/>
    <col min="14" max="14" width="12.5703125" style="692" customWidth="1"/>
    <col min="15" max="15" width="23.140625" style="630" customWidth="1"/>
    <col min="16" max="16" width="12.5703125" style="692" customWidth="1"/>
    <col min="17" max="17" width="23.140625" style="630" customWidth="1"/>
    <col min="18" max="18" width="12.5703125" style="692" customWidth="1"/>
    <col min="19" max="19" width="23.140625" style="630" customWidth="1"/>
    <col min="20" max="20" width="12.5703125" style="692" customWidth="1"/>
    <col min="21" max="21" width="24.42578125" style="630" customWidth="1"/>
    <col min="22" max="22" width="12.5703125" style="692" customWidth="1"/>
    <col min="23" max="23" width="24.42578125" style="630" customWidth="1"/>
    <col min="24" max="24" width="12.5703125" style="692" customWidth="1"/>
    <col min="25" max="25" width="24.42578125" style="630" customWidth="1"/>
    <col min="26" max="26" width="12.5703125" style="692" customWidth="1"/>
    <col min="27" max="27" width="24.42578125" style="630" customWidth="1"/>
    <col min="28" max="28" width="12.5703125" style="692" customWidth="1"/>
    <col min="29" max="29" width="24.42578125" style="630" customWidth="1"/>
    <col min="30" max="30" width="12.5703125" style="692" customWidth="1"/>
    <col min="31" max="31" width="24.42578125" style="630" customWidth="1"/>
    <col min="32" max="32" width="12.5703125" style="692" customWidth="1"/>
    <col min="33" max="33" width="24.42578125" style="630" customWidth="1"/>
    <col min="34" max="34" width="12.5703125" style="692" customWidth="1"/>
    <col min="35" max="35" width="24.42578125" style="630" customWidth="1"/>
    <col min="36" max="36" width="12.5703125" style="692" customWidth="1"/>
    <col min="37" max="37" width="24.42578125" style="630" customWidth="1"/>
    <col min="38" max="38" width="12.5703125" style="692" customWidth="1"/>
    <col min="39" max="39" width="24.42578125" style="630" customWidth="1"/>
    <col min="40" max="40" width="12.5703125" style="692" customWidth="1"/>
    <col min="41" max="41" width="24.42578125" style="630" customWidth="1"/>
    <col min="42" max="42" width="12.5703125" style="692" customWidth="1"/>
    <col min="43" max="43" width="24.42578125" style="630" customWidth="1"/>
    <col min="44" max="44" width="12.5703125" style="692" customWidth="1"/>
    <col min="45" max="45" width="24.42578125" style="630" customWidth="1"/>
    <col min="46" max="46" width="12.5703125" style="692" customWidth="1"/>
    <col min="47" max="47" width="24.42578125" style="630" customWidth="1"/>
    <col min="48" max="48" width="12.5703125" style="692" customWidth="1"/>
  </cols>
  <sheetData>
    <row r="1" spans="1:48">
      <c r="C1" s="1035">
        <v>1</v>
      </c>
      <c r="D1" s="1036"/>
      <c r="E1" s="1035">
        <v>2</v>
      </c>
      <c r="F1" s="1036"/>
      <c r="G1" s="1035">
        <v>5</v>
      </c>
      <c r="H1" s="1036"/>
      <c r="I1" s="1035">
        <v>6</v>
      </c>
      <c r="J1" s="1036"/>
      <c r="K1" s="1035">
        <v>7</v>
      </c>
      <c r="L1" s="1036"/>
      <c r="M1" s="1035">
        <v>8</v>
      </c>
      <c r="N1" s="1036"/>
      <c r="O1" s="1035">
        <v>9</v>
      </c>
      <c r="P1" s="1036"/>
      <c r="Q1" s="1035">
        <v>12</v>
      </c>
      <c r="R1" s="1036"/>
      <c r="S1" s="1035">
        <v>13</v>
      </c>
      <c r="T1" s="1036"/>
      <c r="U1" s="1035">
        <v>14</v>
      </c>
      <c r="V1" s="1036"/>
      <c r="W1" s="1035">
        <v>15</v>
      </c>
      <c r="X1" s="1036"/>
      <c r="Y1" s="1035">
        <v>16</v>
      </c>
      <c r="Z1" s="1036"/>
      <c r="AA1" s="1035">
        <v>19</v>
      </c>
      <c r="AB1" s="1036"/>
      <c r="AC1" s="1035">
        <v>20</v>
      </c>
      <c r="AD1" s="1036"/>
      <c r="AE1" s="1035">
        <v>21</v>
      </c>
      <c r="AF1" s="1036"/>
      <c r="AG1" s="1035">
        <v>22</v>
      </c>
      <c r="AH1" s="1036"/>
      <c r="AI1" s="1035">
        <v>23</v>
      </c>
      <c r="AJ1" s="1036"/>
      <c r="AK1" s="1035">
        <v>26</v>
      </c>
      <c r="AL1" s="1036"/>
      <c r="AM1" s="1035">
        <v>27</v>
      </c>
      <c r="AN1" s="1036"/>
      <c r="AO1" s="1035">
        <v>28</v>
      </c>
      <c r="AP1" s="1036"/>
      <c r="AQ1" s="1035">
        <v>29</v>
      </c>
      <c r="AR1" s="1036"/>
      <c r="AS1" s="1035">
        <v>30</v>
      </c>
      <c r="AT1" s="1036"/>
      <c r="AU1" s="1035">
        <v>31</v>
      </c>
      <c r="AV1" s="1036"/>
    </row>
    <row r="2" spans="1:48">
      <c r="A2" s="418" t="s">
        <v>129</v>
      </c>
      <c r="B2" s="58" t="s">
        <v>15</v>
      </c>
      <c r="C2" s="744">
        <v>6735348</v>
      </c>
      <c r="D2" s="200">
        <v>6.47</v>
      </c>
      <c r="E2" s="757">
        <v>6717022.9100000001</v>
      </c>
      <c r="F2" s="205">
        <v>6.46</v>
      </c>
      <c r="G2" s="757">
        <v>6725694.9299999997</v>
      </c>
      <c r="H2" s="205">
        <v>6.46</v>
      </c>
      <c r="I2" s="758">
        <v>6781401</v>
      </c>
      <c r="J2" s="200">
        <v>6.53</v>
      </c>
      <c r="K2" s="758">
        <v>6731479.29</v>
      </c>
      <c r="L2" s="200">
        <v>6.49</v>
      </c>
      <c r="M2" s="757">
        <v>6737333.9500000002</v>
      </c>
      <c r="N2" s="205">
        <v>6.48</v>
      </c>
      <c r="O2" s="758">
        <v>6790044</v>
      </c>
      <c r="P2" s="200">
        <v>6.53</v>
      </c>
      <c r="Q2" s="758">
        <v>6746295.5899999999</v>
      </c>
      <c r="R2" s="200">
        <v>6.48</v>
      </c>
      <c r="S2" s="758">
        <v>6769275</v>
      </c>
      <c r="T2" s="200">
        <v>6.51</v>
      </c>
      <c r="U2" s="758">
        <v>6772242</v>
      </c>
      <c r="V2" s="200">
        <v>6.53</v>
      </c>
      <c r="W2" s="758">
        <v>6775273.5</v>
      </c>
      <c r="X2" s="200">
        <v>6.52</v>
      </c>
      <c r="Y2" s="757">
        <v>6751644.5700000003</v>
      </c>
      <c r="Z2" s="205">
        <v>6.5</v>
      </c>
      <c r="AA2" s="757">
        <v>6760445.5899999999</v>
      </c>
      <c r="AB2" s="205">
        <v>6.5</v>
      </c>
      <c r="AC2" s="757">
        <v>6777698.0499999998</v>
      </c>
      <c r="AD2" s="205">
        <v>6.5</v>
      </c>
      <c r="AE2" s="758">
        <v>6831130.5</v>
      </c>
      <c r="AF2" s="200">
        <v>6.55</v>
      </c>
      <c r="AG2" s="757">
        <v>6783436.6200000001</v>
      </c>
      <c r="AH2" s="205">
        <v>6.51</v>
      </c>
      <c r="AI2" s="757">
        <v>6786305.5800000001</v>
      </c>
      <c r="AJ2" s="205">
        <v>6.51</v>
      </c>
      <c r="AK2" s="757">
        <v>6794977.6100000003</v>
      </c>
      <c r="AL2" s="205">
        <v>6.52</v>
      </c>
      <c r="AM2" s="757">
        <v>6823132.5</v>
      </c>
      <c r="AN2" s="205">
        <v>6.54</v>
      </c>
      <c r="AO2" s="758">
        <v>6825970.5</v>
      </c>
      <c r="AP2" s="200">
        <v>6.55</v>
      </c>
      <c r="AQ2" s="758">
        <v>6828873</v>
      </c>
      <c r="AR2" s="200">
        <v>6.55</v>
      </c>
      <c r="AS2" s="757">
        <v>6806519.2400000002</v>
      </c>
      <c r="AT2" s="205">
        <v>6.51</v>
      </c>
      <c r="AU2" s="758">
        <v>6858543</v>
      </c>
      <c r="AV2" s="200">
        <v>6.56</v>
      </c>
    </row>
    <row r="3" spans="1:48">
      <c r="A3" s="418" t="s">
        <v>123</v>
      </c>
      <c r="B3" s="58" t="s">
        <v>15</v>
      </c>
      <c r="C3" s="745">
        <v>4534599.84</v>
      </c>
      <c r="D3" s="723">
        <v>4.3600000000000003</v>
      </c>
      <c r="E3" s="745">
        <v>4536447.12</v>
      </c>
      <c r="F3" s="723">
        <v>4.37</v>
      </c>
      <c r="G3" s="745">
        <v>4541946</v>
      </c>
      <c r="H3" s="723">
        <v>4.3600000000000003</v>
      </c>
      <c r="I3" s="745">
        <v>4549936.5599999996</v>
      </c>
      <c r="J3" s="723">
        <v>4.38</v>
      </c>
      <c r="K3" s="745">
        <v>4551697.92</v>
      </c>
      <c r="L3" s="723">
        <v>4.3899999999999997</v>
      </c>
      <c r="M3" s="756">
        <v>4548537.78</v>
      </c>
      <c r="N3" s="716">
        <v>4.38</v>
      </c>
      <c r="O3" s="745">
        <v>4550293.13</v>
      </c>
      <c r="P3" s="723">
        <v>4.38</v>
      </c>
      <c r="Q3" s="745">
        <v>4555559.59</v>
      </c>
      <c r="R3" s="723">
        <v>4.38</v>
      </c>
      <c r="S3" s="756">
        <v>4557314.9400000004</v>
      </c>
      <c r="T3" s="716">
        <v>4.38</v>
      </c>
      <c r="U3" s="756">
        <v>4559070.7152000004</v>
      </c>
      <c r="V3" s="716">
        <v>4.4000000000000004</v>
      </c>
      <c r="W3" s="745">
        <v>4565359.2</v>
      </c>
      <c r="X3" s="723">
        <v>4.3999999999999995</v>
      </c>
      <c r="Y3" s="756">
        <v>4558500.21</v>
      </c>
      <c r="Z3" s="716">
        <v>4.3999999999999995</v>
      </c>
      <c r="AA3" s="756">
        <v>4567890.84</v>
      </c>
      <c r="AB3" s="716">
        <v>4.3999999999999995</v>
      </c>
      <c r="AC3" s="756">
        <v>4572395.62</v>
      </c>
      <c r="AD3" s="716">
        <v>4.3999999999999995</v>
      </c>
      <c r="AE3" s="757">
        <v>4571444.4800000004</v>
      </c>
      <c r="AF3" s="205">
        <v>4.38</v>
      </c>
      <c r="AG3" s="758">
        <v>4577044.32</v>
      </c>
      <c r="AH3" s="200">
        <v>4.3899999999999997</v>
      </c>
      <c r="AI3" s="757">
        <v>4574998.5599999996</v>
      </c>
      <c r="AJ3" s="205">
        <v>4.3899999999999997</v>
      </c>
      <c r="AK3" s="757">
        <v>4580307.99</v>
      </c>
      <c r="AL3" s="205">
        <v>4.4000000000000004</v>
      </c>
      <c r="AM3" s="757">
        <v>4579643.83</v>
      </c>
      <c r="AN3" s="205">
        <v>4.3899999999999997</v>
      </c>
      <c r="AO3" s="758">
        <v>4583144.6399999997</v>
      </c>
      <c r="AP3" s="200">
        <v>4.4000000000000004</v>
      </c>
      <c r="AQ3" s="757">
        <v>4585659.9400000004</v>
      </c>
      <c r="AR3" s="205">
        <v>4.4000000000000004</v>
      </c>
      <c r="AS3" s="757">
        <v>4585310.68</v>
      </c>
      <c r="AT3" s="205">
        <v>4.3899999999999997</v>
      </c>
      <c r="AU3" s="758">
        <v>4589717.5199999996</v>
      </c>
      <c r="AV3" s="200">
        <v>4.3899999999999997</v>
      </c>
    </row>
    <row r="4" spans="1:48">
      <c r="A4" s="418" t="s">
        <v>115</v>
      </c>
      <c r="B4" s="58" t="s">
        <v>15</v>
      </c>
      <c r="C4" s="746">
        <v>9487207.9499999993</v>
      </c>
      <c r="D4" s="723">
        <v>9.1199999999999992</v>
      </c>
      <c r="E4" s="746">
        <v>9491215.1199999992</v>
      </c>
      <c r="F4" s="723">
        <v>9.1300000000000008</v>
      </c>
      <c r="G4" s="746">
        <v>9503050.25</v>
      </c>
      <c r="H4" s="723">
        <v>9.129999999999999</v>
      </c>
      <c r="I4" s="746">
        <v>9530727.6799999997</v>
      </c>
      <c r="J4" s="723">
        <v>9.17</v>
      </c>
      <c r="K4" s="746">
        <v>9534641.6600000001</v>
      </c>
      <c r="L4" s="723">
        <v>9.1999999999999993</v>
      </c>
      <c r="M4" s="746">
        <v>9538462.4499999993</v>
      </c>
      <c r="N4" s="723">
        <v>9.17</v>
      </c>
      <c r="O4" s="755">
        <v>9542376.4299999997</v>
      </c>
      <c r="P4" s="716">
        <v>9.17</v>
      </c>
      <c r="Q4" s="755">
        <v>9553931.9900000002</v>
      </c>
      <c r="R4" s="716">
        <v>9.18</v>
      </c>
      <c r="S4" s="746">
        <v>9547595.0700000003</v>
      </c>
      <c r="T4" s="723">
        <v>9.18</v>
      </c>
      <c r="U4" s="746">
        <v>9551602.2400000002</v>
      </c>
      <c r="V4" s="723">
        <v>9.2100000000000009</v>
      </c>
      <c r="W4" s="746">
        <v>9555609.4100000001</v>
      </c>
      <c r="X4" s="723">
        <v>9.1999999999999993</v>
      </c>
      <c r="Y4" s="746">
        <v>9559523.3900000006</v>
      </c>
      <c r="Z4" s="723">
        <v>9.2000000000000011</v>
      </c>
      <c r="AA4" s="746">
        <v>9571544.9000000004</v>
      </c>
      <c r="AB4" s="723">
        <v>9.19</v>
      </c>
      <c r="AC4" s="746">
        <v>9582914.0800000001</v>
      </c>
      <c r="AD4" s="723">
        <v>9.1999999999999993</v>
      </c>
      <c r="AE4" s="746">
        <v>9586828.0600000005</v>
      </c>
      <c r="AF4" s="723">
        <v>9.19</v>
      </c>
      <c r="AG4" s="746">
        <v>9590648.8499999996</v>
      </c>
      <c r="AH4" s="723">
        <v>9.1999999999999993</v>
      </c>
      <c r="AI4" s="746">
        <v>9594469.6400000006</v>
      </c>
      <c r="AJ4" s="723">
        <v>9.1999999999999993</v>
      </c>
      <c r="AK4" s="746">
        <v>9605932.0099999998</v>
      </c>
      <c r="AL4" s="723">
        <v>9.2200000000000006</v>
      </c>
      <c r="AM4" s="746">
        <v>9588412.2899999991</v>
      </c>
      <c r="AN4" s="723">
        <v>9.19</v>
      </c>
      <c r="AO4" s="746">
        <v>9592419.4600000009</v>
      </c>
      <c r="AP4" s="723">
        <v>9.1999999999999993</v>
      </c>
      <c r="AQ4" s="746">
        <v>9596333.4399999995</v>
      </c>
      <c r="AR4" s="723">
        <v>9.1999999999999993</v>
      </c>
      <c r="AS4" s="746">
        <v>9609380.0399999991</v>
      </c>
      <c r="AT4" s="723">
        <v>9.1999999999999993</v>
      </c>
      <c r="AU4" s="746">
        <v>9613200.8300000001</v>
      </c>
      <c r="AV4" s="723">
        <v>9.19</v>
      </c>
    </row>
    <row r="5" spans="1:48">
      <c r="A5" s="418" t="s">
        <v>118</v>
      </c>
      <c r="B5" s="58" t="s">
        <v>15</v>
      </c>
      <c r="C5" s="745">
        <v>8249670</v>
      </c>
      <c r="D5" s="723">
        <v>7.93</v>
      </c>
      <c r="E5" s="756">
        <v>8313294.5999999996</v>
      </c>
      <c r="F5" s="716">
        <v>8</v>
      </c>
      <c r="G5" s="756">
        <v>8322893.2800000003</v>
      </c>
      <c r="H5" s="716">
        <v>7.99</v>
      </c>
      <c r="I5" s="756">
        <v>8326118.5800000001</v>
      </c>
      <c r="J5" s="716">
        <v>8.01</v>
      </c>
      <c r="K5" s="756">
        <v>8329265.8799999999</v>
      </c>
      <c r="L5" s="716">
        <v>8.0299999999999994</v>
      </c>
      <c r="M5" s="756">
        <v>8332413.1799999997</v>
      </c>
      <c r="N5" s="716">
        <v>8.02</v>
      </c>
      <c r="O5" s="756">
        <v>8323314.4800000004</v>
      </c>
      <c r="P5" s="716">
        <v>8</v>
      </c>
      <c r="Q5" s="756">
        <v>8345237.1600000001</v>
      </c>
      <c r="R5" s="716">
        <v>8.02</v>
      </c>
      <c r="S5" s="756">
        <v>8348228.46</v>
      </c>
      <c r="T5" s="716">
        <v>8.0299999999999994</v>
      </c>
      <c r="U5" s="745">
        <v>8301774</v>
      </c>
      <c r="V5" s="723">
        <v>8</v>
      </c>
      <c r="W5" s="756">
        <v>8354835.0599999996</v>
      </c>
      <c r="X5" s="716">
        <v>8.0399999999999991</v>
      </c>
      <c r="Y5" s="745">
        <v>8308950</v>
      </c>
      <c r="Z5" s="723">
        <v>8</v>
      </c>
      <c r="AA5" s="756">
        <v>8367503.04</v>
      </c>
      <c r="AB5" s="716">
        <v>8.0500000000000007</v>
      </c>
      <c r="AC5" s="756">
        <v>8370806.3399999999</v>
      </c>
      <c r="AD5" s="716">
        <v>8.0299999999999994</v>
      </c>
      <c r="AE5" s="756">
        <v>8369273.6399999997</v>
      </c>
      <c r="AF5" s="716">
        <v>8.0299999999999994</v>
      </c>
      <c r="AG5" s="745">
        <v>8352942</v>
      </c>
      <c r="AH5" s="723">
        <v>8.01</v>
      </c>
      <c r="AI5" s="745">
        <v>8356374</v>
      </c>
      <c r="AJ5" s="723">
        <v>8.01</v>
      </c>
      <c r="AK5" s="756">
        <v>8385400.9199999999</v>
      </c>
      <c r="AL5" s="716">
        <v>8.0500000000000007</v>
      </c>
      <c r="AM5" s="756">
        <v>8343660</v>
      </c>
      <c r="AN5" s="716">
        <v>8</v>
      </c>
      <c r="AO5" s="745">
        <v>8347170</v>
      </c>
      <c r="AP5" s="723">
        <v>8.01</v>
      </c>
      <c r="AQ5" s="756">
        <v>8358651.5999999996</v>
      </c>
      <c r="AR5" s="716">
        <v>8.01</v>
      </c>
      <c r="AS5" s="756">
        <v>8398380.9000000004</v>
      </c>
      <c r="AT5" s="716">
        <v>8.0399999999999991</v>
      </c>
      <c r="AU5" s="745">
        <v>8374392</v>
      </c>
      <c r="AV5" s="723">
        <v>8</v>
      </c>
    </row>
    <row r="6" spans="1:48">
      <c r="A6" s="477" t="s">
        <v>124</v>
      </c>
      <c r="B6" s="58" t="s">
        <v>15</v>
      </c>
      <c r="C6" s="747">
        <v>8163069.0599999996</v>
      </c>
      <c r="D6" s="723">
        <v>7.85</v>
      </c>
      <c r="E6" s="755">
        <v>7968528.4800000004</v>
      </c>
      <c r="F6" s="716">
        <v>7.67</v>
      </c>
      <c r="G6" s="746">
        <v>8177169.4400000004</v>
      </c>
      <c r="H6" s="723">
        <v>7.85</v>
      </c>
      <c r="I6" s="746">
        <v>8247321.0199999996</v>
      </c>
      <c r="J6" s="723">
        <v>7.94</v>
      </c>
      <c r="K6" s="746">
        <v>8017615.3200000003</v>
      </c>
      <c r="L6" s="723">
        <v>7.73</v>
      </c>
      <c r="M6" s="746">
        <v>8254239.8399999999</v>
      </c>
      <c r="N6" s="723">
        <v>7.94</v>
      </c>
      <c r="O6" s="746">
        <v>8257655.46</v>
      </c>
      <c r="P6" s="723">
        <v>7.94</v>
      </c>
      <c r="Q6" s="746">
        <v>8267989.9000000004</v>
      </c>
      <c r="R6" s="723">
        <v>7.95</v>
      </c>
      <c r="S6" s="746">
        <v>8223324.0999999996</v>
      </c>
      <c r="T6" s="723">
        <v>7.91</v>
      </c>
      <c r="U6" s="746">
        <v>8127318.0281999996</v>
      </c>
      <c r="V6" s="723">
        <v>7.84</v>
      </c>
      <c r="W6" s="746">
        <v>8230067.7599999998</v>
      </c>
      <c r="X6" s="723">
        <v>7.92</v>
      </c>
      <c r="Y6" s="746">
        <v>8233483.3799999999</v>
      </c>
      <c r="Z6" s="723">
        <v>7.93</v>
      </c>
      <c r="AA6" s="746">
        <v>8243642.6600000001</v>
      </c>
      <c r="AB6" s="723">
        <v>7.93</v>
      </c>
      <c r="AC6" s="746">
        <v>8312392.96</v>
      </c>
      <c r="AD6" s="723">
        <v>7.98</v>
      </c>
      <c r="AE6" s="746">
        <v>8315896.1600000001</v>
      </c>
      <c r="AF6" s="723">
        <v>7.98</v>
      </c>
      <c r="AG6" s="746">
        <v>8319399.3600000003</v>
      </c>
      <c r="AH6" s="723">
        <v>7.98</v>
      </c>
      <c r="AI6" s="746">
        <v>8322814.9800000004</v>
      </c>
      <c r="AJ6" s="723">
        <v>7.98</v>
      </c>
      <c r="AK6" s="746">
        <v>8148286.4299999997</v>
      </c>
      <c r="AL6" s="723">
        <v>7.82</v>
      </c>
      <c r="AM6" s="746">
        <v>8322114.3399999999</v>
      </c>
      <c r="AN6" s="723">
        <v>7.9700000000000006</v>
      </c>
      <c r="AO6" s="755">
        <v>7757310.9199999999</v>
      </c>
      <c r="AP6" s="716">
        <v>7.44</v>
      </c>
      <c r="AQ6" s="746">
        <v>7899978.7400000002</v>
      </c>
      <c r="AR6" s="723">
        <v>7.57</v>
      </c>
      <c r="AS6" s="746">
        <v>7947096.7800000003</v>
      </c>
      <c r="AT6" s="723">
        <v>7.61</v>
      </c>
      <c r="AU6" s="746">
        <v>7950337.2400000002</v>
      </c>
      <c r="AV6" s="723">
        <v>7.6</v>
      </c>
    </row>
    <row r="7" spans="1:48">
      <c r="A7" s="418" t="s">
        <v>130</v>
      </c>
      <c r="B7" s="58" t="s">
        <v>15</v>
      </c>
      <c r="C7" s="747">
        <v>8672225</v>
      </c>
      <c r="D7" s="723">
        <v>8.33</v>
      </c>
      <c r="E7" s="747">
        <v>8675938</v>
      </c>
      <c r="F7" s="723">
        <v>8.35</v>
      </c>
      <c r="G7" s="747">
        <v>8687156</v>
      </c>
      <c r="H7" s="723">
        <v>8.34</v>
      </c>
      <c r="I7" s="747">
        <v>8761890</v>
      </c>
      <c r="J7" s="723">
        <v>8.43</v>
      </c>
      <c r="K7" s="747">
        <v>8765524</v>
      </c>
      <c r="L7" s="723">
        <v>8.4599999999999991</v>
      </c>
      <c r="M7" s="747">
        <v>8769158</v>
      </c>
      <c r="N7" s="723">
        <v>8.44</v>
      </c>
      <c r="O7" s="747">
        <v>8772792</v>
      </c>
      <c r="P7" s="723">
        <v>8.43</v>
      </c>
      <c r="Q7" s="747">
        <v>8783694</v>
      </c>
      <c r="R7" s="723">
        <v>8.44</v>
      </c>
      <c r="S7" s="747">
        <v>8741113</v>
      </c>
      <c r="T7" s="723">
        <v>8.41</v>
      </c>
      <c r="U7" s="747">
        <v>8744668</v>
      </c>
      <c r="V7" s="723">
        <v>8.43</v>
      </c>
      <c r="W7" s="746">
        <v>8748302</v>
      </c>
      <c r="X7" s="723">
        <v>8.42</v>
      </c>
      <c r="Y7" s="746">
        <v>8751857</v>
      </c>
      <c r="Z7" s="723">
        <v>8.43</v>
      </c>
      <c r="AA7" s="746">
        <v>8762601</v>
      </c>
      <c r="AB7" s="723">
        <v>8.43</v>
      </c>
      <c r="AC7" s="746">
        <v>8829198</v>
      </c>
      <c r="AD7" s="723">
        <v>8.4700000000000006</v>
      </c>
      <c r="AE7" s="746">
        <v>8832911</v>
      </c>
      <c r="AF7" s="723">
        <v>8.4700000000000006</v>
      </c>
      <c r="AG7" s="746">
        <v>8836545</v>
      </c>
      <c r="AH7" s="723">
        <v>8.48</v>
      </c>
      <c r="AI7" s="746">
        <v>8840179</v>
      </c>
      <c r="AJ7" s="723">
        <v>8.48</v>
      </c>
      <c r="AK7" s="746">
        <v>8851239</v>
      </c>
      <c r="AL7" s="723">
        <v>8.49</v>
      </c>
      <c r="AM7" s="746">
        <v>8841996</v>
      </c>
      <c r="AN7" s="723">
        <v>8.4700000000000006</v>
      </c>
      <c r="AO7" s="746">
        <v>8845551</v>
      </c>
      <c r="AP7" s="723">
        <v>8.48</v>
      </c>
      <c r="AQ7" s="746">
        <v>8849106</v>
      </c>
      <c r="AR7" s="723">
        <v>8.48</v>
      </c>
      <c r="AS7" s="746">
        <v>8896585</v>
      </c>
      <c r="AT7" s="723">
        <v>8.52</v>
      </c>
      <c r="AU7" s="746">
        <v>8900219</v>
      </c>
      <c r="AV7" s="723">
        <v>8.51</v>
      </c>
    </row>
    <row r="8" spans="1:48">
      <c r="A8" s="418" t="s">
        <v>119</v>
      </c>
      <c r="B8" s="58" t="s">
        <v>15</v>
      </c>
      <c r="C8" s="747">
        <v>5219379</v>
      </c>
      <c r="D8" s="723">
        <v>5.0199999999999996</v>
      </c>
      <c r="E8" s="747">
        <v>5221606.5</v>
      </c>
      <c r="F8" s="723">
        <v>5.03</v>
      </c>
      <c r="G8" s="747">
        <v>5228338.5</v>
      </c>
      <c r="H8" s="723">
        <v>5.0199999999999996</v>
      </c>
      <c r="I8" s="747">
        <v>5277640.5</v>
      </c>
      <c r="J8" s="723">
        <v>5.08</v>
      </c>
      <c r="K8" s="747">
        <v>5279818.5</v>
      </c>
      <c r="L8" s="723">
        <v>5.09</v>
      </c>
      <c r="M8" s="747">
        <v>5281996.5</v>
      </c>
      <c r="N8" s="723">
        <v>5.08</v>
      </c>
      <c r="O8" s="747">
        <v>5284174.5</v>
      </c>
      <c r="P8" s="723">
        <v>5.08</v>
      </c>
      <c r="Q8" s="747">
        <v>5290708.5</v>
      </c>
      <c r="R8" s="723">
        <v>5.08</v>
      </c>
      <c r="S8" s="747">
        <v>5266899</v>
      </c>
      <c r="T8" s="723">
        <v>5.07</v>
      </c>
      <c r="U8" s="755">
        <v>5269027.5</v>
      </c>
      <c r="V8" s="716">
        <v>5.08</v>
      </c>
      <c r="W8" s="746">
        <v>5271156</v>
      </c>
      <c r="X8" s="723">
        <v>5.07</v>
      </c>
      <c r="Y8" s="746">
        <v>5273284.5</v>
      </c>
      <c r="Z8" s="723">
        <v>5.08</v>
      </c>
      <c r="AA8" s="746">
        <v>5279670</v>
      </c>
      <c r="AB8" s="723">
        <v>5.08</v>
      </c>
      <c r="AC8" s="746">
        <v>5318032.5</v>
      </c>
      <c r="AD8" s="723">
        <v>5.0999999999999996</v>
      </c>
      <c r="AE8" s="746">
        <v>5320260</v>
      </c>
      <c r="AF8" s="723">
        <v>5.0999999999999996</v>
      </c>
      <c r="AG8" s="746">
        <v>5322438</v>
      </c>
      <c r="AH8" s="723">
        <v>5.1100000000000003</v>
      </c>
      <c r="AI8" s="746">
        <v>5324665.5</v>
      </c>
      <c r="AJ8" s="723">
        <v>5.1100000000000003</v>
      </c>
      <c r="AK8" s="746">
        <v>5331249</v>
      </c>
      <c r="AL8" s="723">
        <v>5.12</v>
      </c>
      <c r="AM8" s="746">
        <v>5328724.5</v>
      </c>
      <c r="AN8" s="723">
        <v>5.1100000000000003</v>
      </c>
      <c r="AO8" s="746">
        <v>5330853</v>
      </c>
      <c r="AP8" s="723">
        <v>5.1100000000000003</v>
      </c>
      <c r="AQ8" s="746">
        <v>5333031</v>
      </c>
      <c r="AR8" s="723">
        <v>5.1100000000000003</v>
      </c>
      <c r="AS8" s="746">
        <v>5361790.5</v>
      </c>
      <c r="AT8" s="723">
        <v>5.13</v>
      </c>
      <c r="AU8" s="746">
        <v>5363968.5</v>
      </c>
      <c r="AV8" s="723">
        <v>5.13</v>
      </c>
    </row>
    <row r="9" spans="1:48" ht="16.5" thickBot="1">
      <c r="A9" s="1020" t="s">
        <v>113</v>
      </c>
      <c r="B9" s="1048"/>
      <c r="C9" s="444">
        <f t="shared" ref="C9:D9" si="0">SUM(C2:C8)</f>
        <v>51061498.850000001</v>
      </c>
      <c r="D9" s="639">
        <f t="shared" si="0"/>
        <v>49.08</v>
      </c>
      <c r="E9" s="444">
        <f t="shared" ref="E9:F9" si="1">SUM(E2:E8)</f>
        <v>50924052.730000004</v>
      </c>
      <c r="F9" s="639">
        <f t="shared" si="1"/>
        <v>49.010000000000005</v>
      </c>
      <c r="G9" s="444">
        <f t="shared" ref="G9:H9" si="2">SUM(G2:G8)</f>
        <v>51186248.399999999</v>
      </c>
      <c r="H9" s="639">
        <f t="shared" si="2"/>
        <v>49.149999999999991</v>
      </c>
      <c r="I9" s="444">
        <f t="shared" ref="I9:J9" si="3">SUM(I2:I8)</f>
        <v>51475035.340000004</v>
      </c>
      <c r="J9" s="639">
        <f t="shared" si="3"/>
        <v>49.539999999999992</v>
      </c>
      <c r="K9" s="444">
        <f t="shared" ref="K9:L9" si="4">SUM(K2:K8)</f>
        <v>51210042.57</v>
      </c>
      <c r="L9" s="639">
        <f t="shared" si="4"/>
        <v>49.39</v>
      </c>
      <c r="M9" s="444">
        <f t="shared" ref="M9:N9" si="5">SUM(M2:M8)</f>
        <v>51462141.700000003</v>
      </c>
      <c r="N9" s="639">
        <f t="shared" si="5"/>
        <v>49.51</v>
      </c>
      <c r="O9" s="444">
        <f t="shared" ref="O9:P9" si="6">SUM(O2:O8)</f>
        <v>51520650</v>
      </c>
      <c r="P9" s="639">
        <f t="shared" si="6"/>
        <v>49.529999999999994</v>
      </c>
      <c r="Q9" s="444">
        <f t="shared" ref="Q9:R9" si="7">SUM(Q2:Q8)</f>
        <v>51543416.730000004</v>
      </c>
      <c r="R9" s="639">
        <f t="shared" si="7"/>
        <v>49.529999999999994</v>
      </c>
      <c r="S9" s="444">
        <f t="shared" ref="S9:T9" si="8">SUM(S2:S8)</f>
        <v>51453749.57</v>
      </c>
      <c r="T9" s="639">
        <f t="shared" si="8"/>
        <v>49.49</v>
      </c>
      <c r="U9" s="444">
        <f t="shared" ref="U9:V9" si="9">SUM(U2:U8)</f>
        <v>51325702.483400002</v>
      </c>
      <c r="V9" s="639">
        <f t="shared" si="9"/>
        <v>49.49</v>
      </c>
      <c r="W9" s="444">
        <f t="shared" ref="W9:X9" si="10">SUM(W2:W8)</f>
        <v>51500602.93</v>
      </c>
      <c r="X9" s="639">
        <f t="shared" si="10"/>
        <v>49.57</v>
      </c>
      <c r="Y9" s="444">
        <f t="shared" ref="Y9:Z9" si="11">SUM(Y2:Y8)</f>
        <v>51437243.050000004</v>
      </c>
      <c r="Z9" s="639">
        <f t="shared" si="11"/>
        <v>49.54</v>
      </c>
      <c r="AA9" s="444">
        <f t="shared" ref="AA9:AB9" si="12">SUM(AA2:AA8)</f>
        <v>51553298.030000001</v>
      </c>
      <c r="AB9" s="639">
        <f t="shared" si="12"/>
        <v>49.579999999999991</v>
      </c>
      <c r="AC9" s="444">
        <f t="shared" ref="AC9:AD9" si="13">SUM(AC2:AC8)</f>
        <v>51763437.549999997</v>
      </c>
      <c r="AD9" s="639">
        <f t="shared" si="13"/>
        <v>49.68</v>
      </c>
      <c r="AE9" s="444">
        <f t="shared" ref="AE9:AH9" si="14">SUM(AE2:AE8)</f>
        <v>51827743.840000004</v>
      </c>
      <c r="AF9" s="639">
        <f t="shared" si="14"/>
        <v>49.699999999999996</v>
      </c>
      <c r="AG9" s="444">
        <f t="shared" si="14"/>
        <v>51782454.149999999</v>
      </c>
      <c r="AH9" s="639">
        <f t="shared" si="14"/>
        <v>49.680000000000007</v>
      </c>
      <c r="AI9" s="444">
        <f t="shared" ref="AI9:AJ9" si="15">SUM(AI2:AI8)</f>
        <v>51799807.260000005</v>
      </c>
      <c r="AJ9" s="639">
        <f t="shared" si="15"/>
        <v>49.680000000000007</v>
      </c>
      <c r="AK9" s="444">
        <f t="shared" ref="AK9:AL9" si="16">SUM(AK2:AK8)</f>
        <v>51697392.960000001</v>
      </c>
      <c r="AL9" s="639">
        <f t="shared" si="16"/>
        <v>49.620000000000005</v>
      </c>
      <c r="AM9" s="444">
        <f t="shared" ref="AM9:AN9" si="17">SUM(AM2:AM8)</f>
        <v>51827683.459999993</v>
      </c>
      <c r="AN9" s="639">
        <f t="shared" si="17"/>
        <v>49.669999999999995</v>
      </c>
      <c r="AO9" s="444">
        <f t="shared" ref="AO9:AP9" si="18">SUM(AO2:AO8)</f>
        <v>51282419.520000003</v>
      </c>
      <c r="AP9" s="639">
        <f t="shared" si="18"/>
        <v>49.19</v>
      </c>
      <c r="AQ9" s="444">
        <f t="shared" ref="AQ9:AR9" si="19">SUM(AQ2:AQ8)</f>
        <v>51451633.720000006</v>
      </c>
      <c r="AR9" s="639">
        <f t="shared" si="19"/>
        <v>49.319999999999993</v>
      </c>
      <c r="AS9" s="444">
        <f t="shared" ref="AS9:AT9" si="20">SUM(AS2:AS8)</f>
        <v>51605063.140000001</v>
      </c>
      <c r="AT9" s="639">
        <f t="shared" si="20"/>
        <v>49.4</v>
      </c>
      <c r="AU9" s="444">
        <f t="shared" ref="AU9:AV9" si="21">SUM(AU2:AU8)</f>
        <v>51650378.090000004</v>
      </c>
      <c r="AV9" s="639">
        <f t="shared" si="21"/>
        <v>49.38</v>
      </c>
    </row>
    <row r="10" spans="1:48" ht="15">
      <c r="A10" s="419" t="s">
        <v>25</v>
      </c>
      <c r="B10" s="422" t="s">
        <v>26</v>
      </c>
      <c r="C10" s="748">
        <v>3849598.97</v>
      </c>
      <c r="D10" s="723">
        <v>3.7</v>
      </c>
      <c r="E10" s="748">
        <v>3851114.49</v>
      </c>
      <c r="F10" s="723">
        <v>3.71</v>
      </c>
      <c r="G10" s="748">
        <v>3855664.06</v>
      </c>
      <c r="H10" s="723">
        <v>3.7</v>
      </c>
      <c r="I10" s="748">
        <v>3857181.84</v>
      </c>
      <c r="J10" s="723">
        <v>3.71</v>
      </c>
      <c r="K10" s="748">
        <v>3858700.38</v>
      </c>
      <c r="L10" s="723">
        <v>3.72</v>
      </c>
      <c r="M10" s="748">
        <v>3860219.31</v>
      </c>
      <c r="N10" s="723">
        <v>3.71</v>
      </c>
      <c r="O10" s="748">
        <v>3861738.6</v>
      </c>
      <c r="P10" s="723">
        <v>3.71</v>
      </c>
      <c r="Q10" s="748">
        <v>3866301.04</v>
      </c>
      <c r="R10" s="723">
        <v>3.7100000000000004</v>
      </c>
      <c r="S10" s="748">
        <v>3867822.61</v>
      </c>
      <c r="T10" s="723">
        <v>3.72</v>
      </c>
      <c r="U10" s="748">
        <v>3869345.3185000001</v>
      </c>
      <c r="V10" s="723">
        <v>3.73</v>
      </c>
      <c r="W10" s="748">
        <v>3870868.4</v>
      </c>
      <c r="X10" s="723">
        <v>3.73</v>
      </c>
      <c r="Y10" s="748">
        <v>3872392.24</v>
      </c>
      <c r="Z10" s="723">
        <v>3.73</v>
      </c>
      <c r="AA10" s="748">
        <v>3876966.79</v>
      </c>
      <c r="AB10" s="723">
        <v>3.73</v>
      </c>
      <c r="AC10" s="748">
        <v>3878492.91</v>
      </c>
      <c r="AD10" s="723">
        <v>3.72</v>
      </c>
      <c r="AE10" s="748">
        <v>3880019.78</v>
      </c>
      <c r="AF10" s="723">
        <v>3.72</v>
      </c>
      <c r="AG10" s="748">
        <v>3881547.02</v>
      </c>
      <c r="AH10" s="723">
        <v>3.72</v>
      </c>
      <c r="AI10" s="748">
        <v>3883075.03</v>
      </c>
      <c r="AJ10" s="723">
        <v>3.73</v>
      </c>
      <c r="AK10" s="762">
        <v>3887662.45</v>
      </c>
      <c r="AL10" s="200">
        <v>3.73</v>
      </c>
      <c r="AM10" s="762">
        <v>3889192.72</v>
      </c>
      <c r="AN10" s="200">
        <v>3.73</v>
      </c>
      <c r="AO10" s="762">
        <v>3890723.75</v>
      </c>
      <c r="AP10" s="200">
        <v>3.73</v>
      </c>
      <c r="AQ10" s="762">
        <v>3892255.17</v>
      </c>
      <c r="AR10" s="200">
        <v>3.73</v>
      </c>
      <c r="AS10" s="762">
        <v>3893787.33</v>
      </c>
      <c r="AT10" s="200">
        <v>3.73</v>
      </c>
      <c r="AU10" s="762">
        <v>3895320.26</v>
      </c>
      <c r="AV10" s="200">
        <v>3.73</v>
      </c>
    </row>
    <row r="11" spans="1:48" ht="15">
      <c r="A11" s="419" t="s">
        <v>116</v>
      </c>
      <c r="B11" s="422" t="s">
        <v>117</v>
      </c>
      <c r="C11" s="748">
        <v>2439190.8199999998</v>
      </c>
      <c r="D11" s="723">
        <v>2.3499999999999996</v>
      </c>
      <c r="E11" s="748">
        <v>2440303.5499999998</v>
      </c>
      <c r="F11" s="723">
        <v>2.35</v>
      </c>
      <c r="G11" s="748">
        <v>2443645.09</v>
      </c>
      <c r="H11" s="723">
        <v>2.35</v>
      </c>
      <c r="I11" s="748">
        <v>2444759.98</v>
      </c>
      <c r="J11" s="723">
        <v>2.35</v>
      </c>
      <c r="K11" s="748">
        <v>2445875.35</v>
      </c>
      <c r="L11" s="723">
        <v>2.36</v>
      </c>
      <c r="M11" s="748">
        <v>2446991.19</v>
      </c>
      <c r="N11" s="723">
        <v>2.36</v>
      </c>
      <c r="O11" s="748">
        <v>2448107.5099999998</v>
      </c>
      <c r="P11" s="723">
        <v>2.35</v>
      </c>
      <c r="Q11" s="748">
        <v>2451459.59</v>
      </c>
      <c r="R11" s="723">
        <v>2.36</v>
      </c>
      <c r="S11" s="748">
        <v>2452578.0699999998</v>
      </c>
      <c r="T11" s="723">
        <v>2.36</v>
      </c>
      <c r="U11" s="748">
        <v>2453697.0233999998</v>
      </c>
      <c r="V11" s="723">
        <v>2.37</v>
      </c>
      <c r="W11" s="748">
        <v>2454816.46</v>
      </c>
      <c r="X11" s="723">
        <v>2.36</v>
      </c>
      <c r="Y11" s="748">
        <v>2455936.37</v>
      </c>
      <c r="Z11" s="723">
        <v>2.37</v>
      </c>
      <c r="AA11" s="748">
        <v>2459299.23</v>
      </c>
      <c r="AB11" s="723">
        <v>2.37</v>
      </c>
      <c r="AC11" s="748">
        <v>2460421.29</v>
      </c>
      <c r="AD11" s="723">
        <v>2.36</v>
      </c>
      <c r="AE11" s="748">
        <v>2461543.84</v>
      </c>
      <c r="AF11" s="723">
        <v>2.36</v>
      </c>
      <c r="AG11" s="748">
        <v>2462666.63</v>
      </c>
      <c r="AH11" s="723">
        <v>2.36</v>
      </c>
      <c r="AI11" s="748">
        <v>2463790.37</v>
      </c>
      <c r="AJ11" s="723">
        <v>2.36</v>
      </c>
      <c r="AK11" s="762">
        <v>2467163.9900000002</v>
      </c>
      <c r="AL11" s="200">
        <v>2.37</v>
      </c>
      <c r="AM11" s="762">
        <v>2468289.41</v>
      </c>
      <c r="AN11" s="200">
        <v>2.37</v>
      </c>
      <c r="AO11" s="762">
        <v>2469415.5499999998</v>
      </c>
      <c r="AP11" s="200">
        <v>2.37</v>
      </c>
      <c r="AQ11" s="762">
        <v>2470542.17</v>
      </c>
      <c r="AR11" s="200">
        <v>2.37</v>
      </c>
      <c r="AS11" s="762">
        <v>2471669.2599999998</v>
      </c>
      <c r="AT11" s="200">
        <v>2.37</v>
      </c>
      <c r="AU11" s="762">
        <v>2472796.83</v>
      </c>
      <c r="AV11" s="200">
        <v>2.36</v>
      </c>
    </row>
    <row r="12" spans="1:48" ht="15">
      <c r="A12" s="497"/>
      <c r="B12" s="498"/>
      <c r="C12" s="748">
        <v>0</v>
      </c>
      <c r="D12" s="723">
        <v>0</v>
      </c>
      <c r="E12" s="748">
        <v>0</v>
      </c>
      <c r="F12" s="723">
        <v>0</v>
      </c>
      <c r="G12" s="748">
        <v>0</v>
      </c>
      <c r="H12" s="723">
        <v>0</v>
      </c>
      <c r="I12" s="748">
        <v>0</v>
      </c>
      <c r="J12" s="723">
        <v>0</v>
      </c>
      <c r="K12" s="748">
        <v>0</v>
      </c>
      <c r="L12" s="723">
        <v>0</v>
      </c>
      <c r="M12" s="748">
        <v>0</v>
      </c>
      <c r="N12" s="723">
        <v>0</v>
      </c>
      <c r="O12" s="748">
        <v>0</v>
      </c>
      <c r="P12" s="723">
        <v>0</v>
      </c>
      <c r="Q12" s="748">
        <v>0</v>
      </c>
      <c r="R12" s="723">
        <v>0</v>
      </c>
      <c r="S12" s="748">
        <v>0</v>
      </c>
      <c r="T12" s="723">
        <v>0</v>
      </c>
      <c r="U12" s="748">
        <v>0</v>
      </c>
      <c r="V12" s="723">
        <v>0</v>
      </c>
      <c r="W12" s="748">
        <v>0</v>
      </c>
      <c r="X12" s="723">
        <v>0</v>
      </c>
      <c r="Y12" s="748">
        <v>0</v>
      </c>
      <c r="Z12" s="723">
        <v>0</v>
      </c>
      <c r="AA12" s="748">
        <v>0</v>
      </c>
      <c r="AB12" s="723">
        <v>0</v>
      </c>
      <c r="AC12" s="748">
        <v>0</v>
      </c>
      <c r="AD12" s="723">
        <v>0</v>
      </c>
      <c r="AE12" s="748">
        <v>0</v>
      </c>
      <c r="AF12" s="723">
        <v>0</v>
      </c>
      <c r="AG12" s="748">
        <v>0</v>
      </c>
      <c r="AH12" s="723">
        <v>0</v>
      </c>
      <c r="AI12" s="748">
        <v>0</v>
      </c>
      <c r="AJ12" s="723">
        <v>0</v>
      </c>
      <c r="AK12" s="762">
        <v>0</v>
      </c>
      <c r="AL12" s="200">
        <v>0</v>
      </c>
      <c r="AM12" s="762">
        <v>0</v>
      </c>
      <c r="AN12" s="200">
        <v>0</v>
      </c>
      <c r="AO12" s="762">
        <v>0</v>
      </c>
      <c r="AP12" s="200">
        <v>0</v>
      </c>
      <c r="AQ12" s="762">
        <v>0</v>
      </c>
      <c r="AR12" s="200">
        <v>0</v>
      </c>
      <c r="AS12" s="762">
        <v>0</v>
      </c>
      <c r="AT12" s="200">
        <v>0</v>
      </c>
      <c r="AU12" s="762">
        <v>0</v>
      </c>
      <c r="AV12" s="200">
        <v>0</v>
      </c>
    </row>
    <row r="13" spans="1:48" ht="15">
      <c r="A13" s="420" t="s">
        <v>38</v>
      </c>
      <c r="B13" s="420" t="s">
        <v>39</v>
      </c>
      <c r="C13" s="748">
        <v>4038004.8</v>
      </c>
      <c r="D13" s="724">
        <v>3.88</v>
      </c>
      <c r="E13" s="748">
        <v>4039740.8</v>
      </c>
      <c r="F13" s="724">
        <v>3.89</v>
      </c>
      <c r="G13" s="748">
        <v>4044953.6000000001</v>
      </c>
      <c r="H13" s="724">
        <v>3.88</v>
      </c>
      <c r="I13" s="748">
        <v>4046692.4</v>
      </c>
      <c r="J13" s="724">
        <v>3.9</v>
      </c>
      <c r="K13" s="748">
        <v>4048432.4</v>
      </c>
      <c r="L13" s="724">
        <v>3.9</v>
      </c>
      <c r="M13" s="748">
        <v>4050172.8</v>
      </c>
      <c r="N13" s="724">
        <v>3.9</v>
      </c>
      <c r="O13" s="748">
        <v>4051914</v>
      </c>
      <c r="P13" s="724">
        <v>3.9</v>
      </c>
      <c r="Q13" s="748">
        <v>4057142.4</v>
      </c>
      <c r="R13" s="724">
        <v>3.9</v>
      </c>
      <c r="S13" s="748">
        <v>4058886.8</v>
      </c>
      <c r="T13" s="724">
        <v>3.9</v>
      </c>
      <c r="U13" s="748">
        <v>4060631.6</v>
      </c>
      <c r="V13" s="724">
        <v>3.91</v>
      </c>
      <c r="W13" s="748">
        <v>4062377.6</v>
      </c>
      <c r="X13" s="724">
        <v>3.91</v>
      </c>
      <c r="Y13" s="748">
        <v>4064124</v>
      </c>
      <c r="Z13" s="724">
        <v>3.91</v>
      </c>
      <c r="AA13" s="748">
        <v>4069368</v>
      </c>
      <c r="AB13" s="724">
        <v>3.91</v>
      </c>
      <c r="AC13" s="748">
        <v>4071117.6</v>
      </c>
      <c r="AD13" s="724">
        <v>3.91</v>
      </c>
      <c r="AE13" s="748">
        <v>4072868</v>
      </c>
      <c r="AF13" s="724">
        <v>3.91</v>
      </c>
      <c r="AG13" s="748">
        <v>4074618.8</v>
      </c>
      <c r="AH13" s="724">
        <v>3.91</v>
      </c>
      <c r="AI13" s="748">
        <v>4076370.8</v>
      </c>
      <c r="AJ13" s="724">
        <v>3.91</v>
      </c>
      <c r="AK13" s="762">
        <v>4081630.8</v>
      </c>
      <c r="AL13" s="763">
        <v>3.92</v>
      </c>
      <c r="AM13" s="762">
        <v>4083385.6</v>
      </c>
      <c r="AN13" s="763">
        <v>3.91</v>
      </c>
      <c r="AO13" s="762">
        <v>4085141.2</v>
      </c>
      <c r="AP13" s="763">
        <v>3.92</v>
      </c>
      <c r="AQ13" s="762">
        <v>4086897.2</v>
      </c>
      <c r="AR13" s="763">
        <v>3.92</v>
      </c>
      <c r="AS13" s="762">
        <v>4088654.4</v>
      </c>
      <c r="AT13" s="763">
        <v>3.91</v>
      </c>
      <c r="AU13" s="762">
        <v>4090412.4</v>
      </c>
      <c r="AV13" s="763">
        <v>3.91</v>
      </c>
    </row>
    <row r="14" spans="1:48" thickBot="1">
      <c r="A14" s="421" t="s">
        <v>98</v>
      </c>
      <c r="B14" s="421" t="s">
        <v>99</v>
      </c>
      <c r="C14" s="748">
        <v>3097238.4</v>
      </c>
      <c r="D14" s="723">
        <v>2.98</v>
      </c>
      <c r="E14" s="748">
        <v>3098610.9</v>
      </c>
      <c r="F14" s="723">
        <v>2.98</v>
      </c>
      <c r="G14" s="748">
        <v>3102732</v>
      </c>
      <c r="H14" s="723">
        <v>2.98</v>
      </c>
      <c r="I14" s="748">
        <v>3104106.9</v>
      </c>
      <c r="J14" s="723">
        <v>2.99</v>
      </c>
      <c r="K14" s="748">
        <v>3105482.4</v>
      </c>
      <c r="L14" s="723">
        <v>3</v>
      </c>
      <c r="M14" s="748">
        <v>3106858.5</v>
      </c>
      <c r="N14" s="723">
        <v>2.99</v>
      </c>
      <c r="O14" s="748">
        <v>3108235.5</v>
      </c>
      <c r="P14" s="723">
        <v>2.99</v>
      </c>
      <c r="Q14" s="748">
        <v>3112369.2</v>
      </c>
      <c r="R14" s="723">
        <v>2.99</v>
      </c>
      <c r="S14" s="748">
        <v>3113748.6</v>
      </c>
      <c r="T14" s="723">
        <v>2.99</v>
      </c>
      <c r="U14" s="748">
        <v>3115128.3</v>
      </c>
      <c r="V14" s="723">
        <v>3</v>
      </c>
      <c r="W14" s="748">
        <v>3116508.6</v>
      </c>
      <c r="X14" s="723">
        <v>3</v>
      </c>
      <c r="Y14" s="748">
        <v>3117889.8</v>
      </c>
      <c r="Z14" s="723">
        <v>3</v>
      </c>
      <c r="AA14" s="748">
        <v>3122036.4</v>
      </c>
      <c r="AB14" s="723">
        <v>3</v>
      </c>
      <c r="AC14" s="748">
        <v>3000000</v>
      </c>
      <c r="AD14" s="723">
        <v>2.88</v>
      </c>
      <c r="AE14" s="748">
        <v>3001329.3</v>
      </c>
      <c r="AF14" s="723">
        <v>2.88</v>
      </c>
      <c r="AG14" s="748">
        <v>3002659.5</v>
      </c>
      <c r="AH14" s="723">
        <v>2.88</v>
      </c>
      <c r="AI14" s="748">
        <v>3003990</v>
      </c>
      <c r="AJ14" s="723">
        <v>2.88</v>
      </c>
      <c r="AK14" s="762">
        <v>3007985.4</v>
      </c>
      <c r="AL14" s="200">
        <v>2.89</v>
      </c>
      <c r="AM14" s="762">
        <v>3009318.3</v>
      </c>
      <c r="AN14" s="200">
        <v>2.88</v>
      </c>
      <c r="AO14" s="762">
        <v>3010651.8</v>
      </c>
      <c r="AP14" s="200">
        <v>2.89</v>
      </c>
      <c r="AQ14" s="762">
        <v>3011985.9</v>
      </c>
      <c r="AR14" s="200">
        <v>2.89</v>
      </c>
      <c r="AS14" s="762">
        <v>3013320.6</v>
      </c>
      <c r="AT14" s="200">
        <v>2.88</v>
      </c>
      <c r="AU14" s="762">
        <v>3014655.9</v>
      </c>
      <c r="AV14" s="200">
        <v>2.88</v>
      </c>
    </row>
    <row r="15" spans="1:48" ht="16.5" thickBot="1">
      <c r="A15" s="1022" t="s">
        <v>114</v>
      </c>
      <c r="B15" s="1047"/>
      <c r="C15" s="598">
        <f t="shared" ref="C15:D15" si="22">SUM(C10:C14)</f>
        <v>13424032.99</v>
      </c>
      <c r="D15" s="646">
        <f t="shared" si="22"/>
        <v>12.91</v>
      </c>
      <c r="E15" s="598">
        <f t="shared" ref="E15:F15" si="23">SUM(E10:E14)</f>
        <v>13429769.74</v>
      </c>
      <c r="F15" s="646">
        <f t="shared" si="23"/>
        <v>12.930000000000001</v>
      </c>
      <c r="G15" s="598">
        <f t="shared" ref="G15:H15" si="24">SUM(G10:G14)</f>
        <v>13446994.75</v>
      </c>
      <c r="H15" s="646">
        <f t="shared" si="24"/>
        <v>12.91</v>
      </c>
      <c r="I15" s="598">
        <f t="shared" ref="I15:J15" si="25">SUM(I10:I14)</f>
        <v>13452741.120000001</v>
      </c>
      <c r="J15" s="646">
        <f t="shared" si="25"/>
        <v>12.950000000000001</v>
      </c>
      <c r="K15" s="598">
        <f t="shared" ref="K15:L15" si="26">SUM(K10:K14)</f>
        <v>13458490.530000001</v>
      </c>
      <c r="L15" s="646">
        <f t="shared" si="26"/>
        <v>12.98</v>
      </c>
      <c r="M15" s="598">
        <f t="shared" ref="M15:N15" si="27">SUM(M10:M14)</f>
        <v>13464241.800000001</v>
      </c>
      <c r="N15" s="646">
        <f t="shared" si="27"/>
        <v>12.96</v>
      </c>
      <c r="O15" s="598">
        <f t="shared" ref="O15:P15" si="28">SUM(O10:O14)</f>
        <v>13469995.609999999</v>
      </c>
      <c r="P15" s="646">
        <f t="shared" si="28"/>
        <v>12.950000000000001</v>
      </c>
      <c r="Q15" s="598">
        <f t="shared" ref="Q15:R15" si="29">SUM(Q10:Q14)</f>
        <v>13487272.23</v>
      </c>
      <c r="R15" s="646">
        <f t="shared" si="29"/>
        <v>12.96</v>
      </c>
      <c r="S15" s="598">
        <f t="shared" ref="S15:T15" si="30">SUM(S10:S14)</f>
        <v>13493036.08</v>
      </c>
      <c r="T15" s="646">
        <f t="shared" si="30"/>
        <v>12.97</v>
      </c>
      <c r="U15" s="598">
        <f t="shared" ref="U15:V15" si="31">SUM(U10:U14)</f>
        <v>13498802.241900001</v>
      </c>
      <c r="V15" s="646">
        <f t="shared" si="31"/>
        <v>13.01</v>
      </c>
      <c r="W15" s="598">
        <f t="shared" ref="W15:X15" si="32">SUM(W10:W14)</f>
        <v>13504571.059999999</v>
      </c>
      <c r="X15" s="646">
        <f t="shared" si="32"/>
        <v>13</v>
      </c>
      <c r="Y15" s="598">
        <f t="shared" ref="Y15:Z15" si="33">SUM(Y10:Y14)</f>
        <v>13510342.41</v>
      </c>
      <c r="Z15" s="646">
        <f t="shared" si="33"/>
        <v>13.01</v>
      </c>
      <c r="AA15" s="598">
        <f t="shared" ref="AA15:AB15" si="34">SUM(AA10:AA14)</f>
        <v>13527670.42</v>
      </c>
      <c r="AB15" s="646">
        <f t="shared" si="34"/>
        <v>13.01</v>
      </c>
      <c r="AC15" s="598">
        <f t="shared" ref="AC15:AD15" si="35">SUM(AC10:AC14)</f>
        <v>13410031.800000001</v>
      </c>
      <c r="AD15" s="646">
        <f t="shared" si="35"/>
        <v>12.870000000000001</v>
      </c>
      <c r="AE15" s="598">
        <f t="shared" ref="AE15:AH15" si="36">SUM(AE10:AE14)</f>
        <v>13415760.919999998</v>
      </c>
      <c r="AF15" s="646">
        <f t="shared" si="36"/>
        <v>12.870000000000001</v>
      </c>
      <c r="AG15" s="598">
        <f t="shared" si="36"/>
        <v>13421491.949999999</v>
      </c>
      <c r="AH15" s="646">
        <f t="shared" si="36"/>
        <v>12.870000000000001</v>
      </c>
      <c r="AI15" s="598">
        <f t="shared" ref="AI15:AJ15" si="37">SUM(AI10:AI14)</f>
        <v>13427226.199999999</v>
      </c>
      <c r="AJ15" s="646">
        <f t="shared" si="37"/>
        <v>12.879999999999999</v>
      </c>
      <c r="AK15" s="598">
        <f t="shared" ref="AK15:AL15" si="38">SUM(AK10:AK14)</f>
        <v>13444442.640000001</v>
      </c>
      <c r="AL15" s="646">
        <f t="shared" si="38"/>
        <v>12.91</v>
      </c>
      <c r="AM15" s="598">
        <f t="shared" ref="AM15:AN15" si="39">SUM(AM10:AM14)</f>
        <v>13450186.030000001</v>
      </c>
      <c r="AN15" s="646">
        <f t="shared" si="39"/>
        <v>12.89</v>
      </c>
      <c r="AO15" s="598">
        <f t="shared" ref="AO15:AP15" si="40">SUM(AO10:AO14)</f>
        <v>13455932.300000001</v>
      </c>
      <c r="AP15" s="646">
        <f t="shared" si="40"/>
        <v>12.91</v>
      </c>
      <c r="AQ15" s="598">
        <f t="shared" ref="AQ15:AR15" si="41">SUM(AQ10:AQ14)</f>
        <v>13461680.439999999</v>
      </c>
      <c r="AR15" s="646">
        <f t="shared" si="41"/>
        <v>12.91</v>
      </c>
      <c r="AS15" s="598">
        <f t="shared" ref="AS15:AT15" si="42">SUM(AS10:AS14)</f>
        <v>13467431.59</v>
      </c>
      <c r="AT15" s="646">
        <f t="shared" si="42"/>
        <v>12.89</v>
      </c>
      <c r="AU15" s="598">
        <f t="shared" ref="AU15:AV15" si="43">SUM(AU10:AU14)</f>
        <v>13473185.390000001</v>
      </c>
      <c r="AV15" s="646">
        <f t="shared" si="43"/>
        <v>12.879999999999999</v>
      </c>
    </row>
    <row r="16" spans="1:48" ht="31.5">
      <c r="A16" s="77" t="s">
        <v>41</v>
      </c>
      <c r="B16" s="78" t="s">
        <v>42</v>
      </c>
      <c r="C16" s="599"/>
      <c r="D16" s="648"/>
      <c r="E16" s="599"/>
      <c r="F16" s="648"/>
      <c r="G16" s="599"/>
      <c r="H16" s="648"/>
      <c r="I16" s="599"/>
      <c r="J16" s="648"/>
      <c r="K16" s="599"/>
      <c r="L16" s="648"/>
      <c r="M16" s="599"/>
      <c r="N16" s="648"/>
      <c r="O16" s="599"/>
      <c r="P16" s="648"/>
      <c r="Q16" s="599"/>
      <c r="R16" s="648"/>
      <c r="S16" s="599"/>
      <c r="T16" s="648"/>
      <c r="U16" s="599"/>
      <c r="V16" s="648"/>
      <c r="W16" s="599"/>
      <c r="X16" s="648"/>
      <c r="Y16" s="599"/>
      <c r="Z16" s="648"/>
      <c r="AA16" s="599"/>
      <c r="AB16" s="648"/>
      <c r="AC16" s="599"/>
      <c r="AD16" s="648"/>
      <c r="AE16" s="599"/>
      <c r="AF16" s="648"/>
      <c r="AG16" s="599"/>
      <c r="AH16" s="648"/>
      <c r="AI16" s="599"/>
      <c r="AJ16" s="648"/>
      <c r="AK16" s="599"/>
      <c r="AL16" s="648"/>
      <c r="AM16" s="599"/>
      <c r="AN16" s="648"/>
      <c r="AO16" s="599"/>
      <c r="AP16" s="648"/>
      <c r="AQ16" s="599"/>
      <c r="AR16" s="648"/>
      <c r="AS16" s="599"/>
      <c r="AT16" s="648"/>
      <c r="AU16" s="599"/>
      <c r="AV16" s="648"/>
    </row>
    <row r="17" spans="1:48" ht="16.5" thickBot="1">
      <c r="A17" s="460">
        <v>22048622</v>
      </c>
      <c r="B17" s="461" t="s">
        <v>121</v>
      </c>
      <c r="C17" s="600">
        <v>1706400</v>
      </c>
      <c r="D17" s="648">
        <v>1.64</v>
      </c>
      <c r="E17" s="600">
        <v>1706400</v>
      </c>
      <c r="F17" s="648">
        <v>1.64</v>
      </c>
      <c r="G17" s="600">
        <v>1706400</v>
      </c>
      <c r="H17" s="648">
        <v>1.64</v>
      </c>
      <c r="I17" s="600">
        <v>1706400</v>
      </c>
      <c r="J17" s="648">
        <v>1.64</v>
      </c>
      <c r="K17" s="600">
        <v>1706400</v>
      </c>
      <c r="L17" s="648">
        <v>1.64</v>
      </c>
      <c r="M17" s="600">
        <v>1706400</v>
      </c>
      <c r="N17" s="648">
        <v>1.64</v>
      </c>
      <c r="O17" s="600">
        <v>1706400</v>
      </c>
      <c r="P17" s="648">
        <v>1.64</v>
      </c>
      <c r="Q17" s="600">
        <v>1706400</v>
      </c>
      <c r="R17" s="648">
        <v>1.64</v>
      </c>
      <c r="S17" s="600">
        <v>1706400</v>
      </c>
      <c r="T17" s="648">
        <v>1.64</v>
      </c>
      <c r="U17" s="600">
        <v>1706400</v>
      </c>
      <c r="V17" s="648">
        <v>1.64</v>
      </c>
      <c r="W17" s="600">
        <v>1706400</v>
      </c>
      <c r="X17" s="648">
        <v>1.64</v>
      </c>
      <c r="Y17" s="600">
        <v>1706400</v>
      </c>
      <c r="Z17" s="648">
        <v>1.64</v>
      </c>
      <c r="AA17" s="600">
        <v>1706400</v>
      </c>
      <c r="AB17" s="648">
        <v>1.64</v>
      </c>
      <c r="AC17" s="600">
        <v>1706400</v>
      </c>
      <c r="AD17" s="648">
        <v>1.64</v>
      </c>
      <c r="AE17" s="600">
        <v>1706400</v>
      </c>
      <c r="AF17" s="648">
        <v>1.64</v>
      </c>
      <c r="AG17" s="600">
        <v>1706400</v>
      </c>
      <c r="AH17" s="648">
        <v>1.64</v>
      </c>
      <c r="AI17" s="600">
        <v>1706400</v>
      </c>
      <c r="AJ17" s="648">
        <v>1.63</v>
      </c>
      <c r="AK17" s="600">
        <v>1706400</v>
      </c>
      <c r="AL17" s="648">
        <v>1.64</v>
      </c>
      <c r="AM17" s="600">
        <v>1706400</v>
      </c>
      <c r="AN17" s="648">
        <v>1.64</v>
      </c>
      <c r="AO17" s="600">
        <v>1706400</v>
      </c>
      <c r="AP17" s="648">
        <v>1.64</v>
      </c>
      <c r="AQ17" s="600">
        <v>1706400</v>
      </c>
      <c r="AR17" s="648">
        <v>1.64</v>
      </c>
      <c r="AS17" s="600">
        <v>1706400</v>
      </c>
      <c r="AT17" s="648">
        <v>1.63</v>
      </c>
      <c r="AU17" s="600">
        <v>1706400</v>
      </c>
      <c r="AV17" s="648">
        <v>1.63</v>
      </c>
    </row>
    <row r="18" spans="1:48" ht="16.5" thickBot="1">
      <c r="A18" s="1039" t="s">
        <v>112</v>
      </c>
      <c r="B18" s="1039"/>
      <c r="C18" s="601">
        <f>SUM(C16:C17)</f>
        <v>1706400</v>
      </c>
      <c r="D18" s="650">
        <f>D17</f>
        <v>1.64</v>
      </c>
      <c r="E18" s="601">
        <f>SUM(E16:E17)</f>
        <v>1706400</v>
      </c>
      <c r="F18" s="650">
        <f>F17</f>
        <v>1.64</v>
      </c>
      <c r="G18" s="601">
        <f>SUM(G16:G17)</f>
        <v>1706400</v>
      </c>
      <c r="H18" s="650">
        <f>H17</f>
        <v>1.64</v>
      </c>
      <c r="I18" s="601">
        <f>SUM(I16:I17)</f>
        <v>1706400</v>
      </c>
      <c r="J18" s="650">
        <f>J17</f>
        <v>1.64</v>
      </c>
      <c r="K18" s="601">
        <f>SUM(K16:K17)</f>
        <v>1706400</v>
      </c>
      <c r="L18" s="650">
        <f>L17</f>
        <v>1.64</v>
      </c>
      <c r="M18" s="601">
        <f>SUM(M16:M17)</f>
        <v>1706400</v>
      </c>
      <c r="N18" s="650">
        <f>N17</f>
        <v>1.64</v>
      </c>
      <c r="O18" s="601">
        <f>SUM(O16:O17)</f>
        <v>1706400</v>
      </c>
      <c r="P18" s="650">
        <f>P17</f>
        <v>1.64</v>
      </c>
      <c r="Q18" s="601">
        <f>SUM(Q16:Q17)</f>
        <v>1706400</v>
      </c>
      <c r="R18" s="650">
        <f>R17</f>
        <v>1.64</v>
      </c>
      <c r="S18" s="601">
        <f>SUM(S16:S17)</f>
        <v>1706400</v>
      </c>
      <c r="T18" s="650">
        <f>T17</f>
        <v>1.64</v>
      </c>
      <c r="U18" s="601">
        <f>SUM(U16:U17)</f>
        <v>1706400</v>
      </c>
      <c r="V18" s="650">
        <f>V17</f>
        <v>1.64</v>
      </c>
      <c r="W18" s="601">
        <f>SUM(W16:W17)</f>
        <v>1706400</v>
      </c>
      <c r="X18" s="650">
        <f>X17</f>
        <v>1.64</v>
      </c>
      <c r="Y18" s="601">
        <f>SUM(Y16:Y17)</f>
        <v>1706400</v>
      </c>
      <c r="Z18" s="650">
        <f>Z17</f>
        <v>1.64</v>
      </c>
      <c r="AA18" s="601">
        <f>SUM(AA16:AA17)</f>
        <v>1706400</v>
      </c>
      <c r="AB18" s="650">
        <f>AB17</f>
        <v>1.64</v>
      </c>
      <c r="AC18" s="601">
        <f>SUM(AC16:AC17)</f>
        <v>1706400</v>
      </c>
      <c r="AD18" s="650">
        <f>AD17</f>
        <v>1.64</v>
      </c>
      <c r="AE18" s="601">
        <f>SUM(AE16:AE17)</f>
        <v>1706400</v>
      </c>
      <c r="AF18" s="650">
        <f>AF17</f>
        <v>1.64</v>
      </c>
      <c r="AG18" s="601">
        <f>SUM(AG16:AG17)</f>
        <v>1706400</v>
      </c>
      <c r="AH18" s="650">
        <f>AH17</f>
        <v>1.64</v>
      </c>
      <c r="AI18" s="601">
        <f>SUM(AI16:AI17)</f>
        <v>1706400</v>
      </c>
      <c r="AJ18" s="650">
        <f>AJ17</f>
        <v>1.63</v>
      </c>
      <c r="AK18" s="601">
        <f>SUM(AK16:AK17)</f>
        <v>1706400</v>
      </c>
      <c r="AL18" s="650">
        <f>AL17</f>
        <v>1.64</v>
      </c>
      <c r="AM18" s="601">
        <f>SUM(AM16:AM17)</f>
        <v>1706400</v>
      </c>
      <c r="AN18" s="650">
        <f>AN17</f>
        <v>1.64</v>
      </c>
      <c r="AO18" s="601">
        <f>SUM(AO16:AO17)</f>
        <v>1706400</v>
      </c>
      <c r="AP18" s="650">
        <f>AP17</f>
        <v>1.64</v>
      </c>
      <c r="AQ18" s="601">
        <f>SUM(AQ16:AQ17)</f>
        <v>1706400</v>
      </c>
      <c r="AR18" s="650">
        <f>AR17</f>
        <v>1.64</v>
      </c>
      <c r="AS18" s="601">
        <f>SUM(AS16:AS17)</f>
        <v>1706400</v>
      </c>
      <c r="AT18" s="650">
        <f>AT17</f>
        <v>1.63</v>
      </c>
      <c r="AU18" s="601">
        <f>SUM(AU16:AU17)</f>
        <v>1706400</v>
      </c>
      <c r="AV18" s="650">
        <f>AV17</f>
        <v>1.63</v>
      </c>
    </row>
    <row r="19" spans="1:48">
      <c r="A19" s="447" t="s">
        <v>106</v>
      </c>
      <c r="B19" s="446"/>
      <c r="C19" s="602">
        <v>550495</v>
      </c>
      <c r="D19" s="726">
        <v>0.53</v>
      </c>
      <c r="E19" s="602">
        <v>550495</v>
      </c>
      <c r="F19" s="726">
        <v>0.53</v>
      </c>
      <c r="G19" s="602">
        <v>550495</v>
      </c>
      <c r="H19" s="726">
        <v>0.53</v>
      </c>
      <c r="I19" s="602">
        <v>550495</v>
      </c>
      <c r="J19" s="726">
        <v>0.53</v>
      </c>
      <c r="K19" s="602">
        <v>550495</v>
      </c>
      <c r="L19" s="726">
        <v>0.53</v>
      </c>
      <c r="M19" s="602">
        <v>550495</v>
      </c>
      <c r="N19" s="726">
        <v>0.53</v>
      </c>
      <c r="O19" s="602">
        <v>550495</v>
      </c>
      <c r="P19" s="726">
        <v>0.53</v>
      </c>
      <c r="Q19" s="602">
        <v>550495</v>
      </c>
      <c r="R19" s="726">
        <v>0.53</v>
      </c>
      <c r="S19" s="602">
        <v>550495</v>
      </c>
      <c r="T19" s="726">
        <v>0.53</v>
      </c>
      <c r="U19" s="602">
        <v>550495</v>
      </c>
      <c r="V19" s="726">
        <v>0.53</v>
      </c>
      <c r="W19" s="602">
        <v>550495</v>
      </c>
      <c r="X19" s="726">
        <v>0.53</v>
      </c>
      <c r="Y19" s="602">
        <v>550495</v>
      </c>
      <c r="Z19" s="726">
        <v>0.53</v>
      </c>
      <c r="AA19" s="602">
        <v>550495</v>
      </c>
      <c r="AB19" s="726">
        <v>0.53</v>
      </c>
      <c r="AC19" s="602">
        <v>550495</v>
      </c>
      <c r="AD19" s="726">
        <v>0.53</v>
      </c>
      <c r="AE19" s="602">
        <v>550495</v>
      </c>
      <c r="AF19" s="726">
        <v>0.53</v>
      </c>
      <c r="AG19" s="602">
        <v>550495</v>
      </c>
      <c r="AH19" s="726">
        <v>0.53</v>
      </c>
      <c r="AI19" s="602">
        <v>550495</v>
      </c>
      <c r="AJ19" s="726">
        <v>0.53</v>
      </c>
      <c r="AK19" s="602">
        <v>550495</v>
      </c>
      <c r="AL19" s="726">
        <v>0.53</v>
      </c>
      <c r="AM19" s="602">
        <v>550495</v>
      </c>
      <c r="AN19" s="726">
        <v>0.53</v>
      </c>
      <c r="AO19" s="602">
        <v>550495</v>
      </c>
      <c r="AP19" s="726">
        <v>0.53</v>
      </c>
      <c r="AQ19" s="602">
        <v>550495</v>
      </c>
      <c r="AR19" s="726">
        <v>0.53</v>
      </c>
      <c r="AS19" s="602">
        <v>550495</v>
      </c>
      <c r="AT19" s="726">
        <v>0.53</v>
      </c>
      <c r="AU19" s="602">
        <v>550495</v>
      </c>
      <c r="AV19" s="726">
        <v>0.53</v>
      </c>
    </row>
    <row r="20" spans="1:48">
      <c r="A20" s="447" t="s">
        <v>107</v>
      </c>
      <c r="B20" s="446"/>
      <c r="C20" s="603">
        <v>1188246.17</v>
      </c>
      <c r="D20" s="727">
        <v>1.1399999999999999</v>
      </c>
      <c r="E20" s="603">
        <v>1188246.17</v>
      </c>
      <c r="F20" s="727">
        <v>1.1399999999999999</v>
      </c>
      <c r="G20" s="603">
        <v>1188246.17</v>
      </c>
      <c r="H20" s="727">
        <v>1.1399999999999999</v>
      </c>
      <c r="I20" s="603">
        <v>1188246.17</v>
      </c>
      <c r="J20" s="727">
        <v>1.1399999999999999</v>
      </c>
      <c r="K20" s="603">
        <v>1188246.17</v>
      </c>
      <c r="L20" s="727">
        <v>1.1499999999999999</v>
      </c>
      <c r="M20" s="603">
        <v>1188246.17</v>
      </c>
      <c r="N20" s="727">
        <v>1.1399999999999999</v>
      </c>
      <c r="O20" s="603">
        <v>1188246.17</v>
      </c>
      <c r="P20" s="727">
        <v>1.1399999999999999</v>
      </c>
      <c r="Q20" s="603">
        <v>1188246.17</v>
      </c>
      <c r="R20" s="727">
        <v>1.1399999999999999</v>
      </c>
      <c r="S20" s="603">
        <v>1188246.17</v>
      </c>
      <c r="T20" s="727">
        <v>1.1399999999999999</v>
      </c>
      <c r="U20" s="603">
        <v>1188246.17</v>
      </c>
      <c r="V20" s="727">
        <v>1.1499999999999999</v>
      </c>
      <c r="W20" s="603">
        <v>1188246.17</v>
      </c>
      <c r="X20" s="727">
        <v>1.1399999999999999</v>
      </c>
      <c r="Y20" s="603">
        <v>1188246.17</v>
      </c>
      <c r="Z20" s="727">
        <v>1.1399999999999999</v>
      </c>
      <c r="AA20" s="603">
        <v>1188246.17</v>
      </c>
      <c r="AB20" s="727">
        <v>1.1499999999999999</v>
      </c>
      <c r="AC20" s="603">
        <v>1188246.17</v>
      </c>
      <c r="AD20" s="727">
        <v>1.1399999999999999</v>
      </c>
      <c r="AE20" s="603">
        <v>1188246.17</v>
      </c>
      <c r="AF20" s="727">
        <v>1.1399999999999999</v>
      </c>
      <c r="AG20" s="603">
        <v>1188246.17</v>
      </c>
      <c r="AH20" s="727">
        <v>1.1399999999999999</v>
      </c>
      <c r="AI20" s="603">
        <v>1188246.17</v>
      </c>
      <c r="AJ20" s="727">
        <v>1.1399999999999999</v>
      </c>
      <c r="AK20" s="603">
        <v>1188246.17</v>
      </c>
      <c r="AL20" s="727">
        <v>1.1399999999999999</v>
      </c>
      <c r="AM20" s="603">
        <v>1188246.17</v>
      </c>
      <c r="AN20" s="727">
        <v>1.1399999999999999</v>
      </c>
      <c r="AO20" s="603">
        <v>1188246.17</v>
      </c>
      <c r="AP20" s="727">
        <v>1.1399999999999999</v>
      </c>
      <c r="AQ20" s="603">
        <v>1188246.17</v>
      </c>
      <c r="AR20" s="727">
        <v>1.1399999999999999</v>
      </c>
      <c r="AS20" s="603">
        <v>1188246.17</v>
      </c>
      <c r="AT20" s="727">
        <v>1.1399999999999999</v>
      </c>
      <c r="AU20" s="603">
        <v>1188246.17</v>
      </c>
      <c r="AV20" s="727">
        <v>1.1299999999999999</v>
      </c>
    </row>
    <row r="21" spans="1:48" ht="16.5" thickBot="1">
      <c r="A21" s="447" t="s">
        <v>108</v>
      </c>
      <c r="B21" s="446"/>
      <c r="C21" s="604">
        <v>5267242.53</v>
      </c>
      <c r="D21" s="727">
        <v>5.0599999999999996</v>
      </c>
      <c r="E21" s="604">
        <v>5267242.53</v>
      </c>
      <c r="F21" s="727">
        <v>5.0599999999999996</v>
      </c>
      <c r="G21" s="604">
        <v>5267242.53</v>
      </c>
      <c r="H21" s="727">
        <v>5.0599999999999996</v>
      </c>
      <c r="I21" s="604">
        <v>5267242.53</v>
      </c>
      <c r="J21" s="727">
        <v>5.07</v>
      </c>
      <c r="K21" s="604">
        <v>5267242.53</v>
      </c>
      <c r="L21" s="727">
        <v>5.08</v>
      </c>
      <c r="M21" s="604">
        <v>5267242.53</v>
      </c>
      <c r="N21" s="727">
        <v>5.07</v>
      </c>
      <c r="O21" s="604">
        <v>5267242.53</v>
      </c>
      <c r="P21" s="727">
        <v>5.07</v>
      </c>
      <c r="Q21" s="604">
        <v>5267242.53</v>
      </c>
      <c r="R21" s="727">
        <v>5.0599999999999996</v>
      </c>
      <c r="S21" s="604">
        <v>5267242.53</v>
      </c>
      <c r="T21" s="727">
        <v>5.07</v>
      </c>
      <c r="U21" s="604">
        <v>5267242.53</v>
      </c>
      <c r="V21" s="727">
        <v>5.08</v>
      </c>
      <c r="W21" s="604">
        <v>5267242.53</v>
      </c>
      <c r="X21" s="727">
        <v>5.07</v>
      </c>
      <c r="Y21" s="604">
        <v>5267242.53</v>
      </c>
      <c r="Z21" s="727">
        <v>5.07</v>
      </c>
      <c r="AA21" s="604">
        <v>5267242.53</v>
      </c>
      <c r="AB21" s="727">
        <v>5.07</v>
      </c>
      <c r="AC21" s="604">
        <v>5267242.53</v>
      </c>
      <c r="AD21" s="727">
        <v>5.05</v>
      </c>
      <c r="AE21" s="604">
        <v>5267242.53</v>
      </c>
      <c r="AF21" s="727">
        <v>5.05</v>
      </c>
      <c r="AG21" s="604">
        <v>5267242.53</v>
      </c>
      <c r="AH21" s="727">
        <v>5.05</v>
      </c>
      <c r="AI21" s="604">
        <v>5267242.53</v>
      </c>
      <c r="AJ21" s="727">
        <v>5.05</v>
      </c>
      <c r="AK21" s="604">
        <v>5267242.53</v>
      </c>
      <c r="AL21" s="727">
        <v>5.05</v>
      </c>
      <c r="AM21" s="604">
        <v>5267242.53</v>
      </c>
      <c r="AN21" s="727">
        <v>5.04</v>
      </c>
      <c r="AO21" s="604">
        <v>5267242.53</v>
      </c>
      <c r="AP21" s="727">
        <v>5.05</v>
      </c>
      <c r="AQ21" s="604">
        <v>5267242.53</v>
      </c>
      <c r="AR21" s="727">
        <v>5.05</v>
      </c>
      <c r="AS21" s="604">
        <v>5267242.53</v>
      </c>
      <c r="AT21" s="727">
        <v>5.04</v>
      </c>
      <c r="AU21" s="604">
        <v>5267242.53</v>
      </c>
      <c r="AV21" s="727">
        <v>5.04</v>
      </c>
    </row>
    <row r="22" spans="1:48" ht="16.5" thickBot="1">
      <c r="A22" s="1026" t="s">
        <v>111</v>
      </c>
      <c r="B22" s="1027"/>
      <c r="C22" s="601">
        <f t="shared" ref="C22:D22" si="44">SUM(C19:C21)</f>
        <v>7005983.7000000002</v>
      </c>
      <c r="D22" s="650">
        <f t="shared" si="44"/>
        <v>6.7299999999999995</v>
      </c>
      <c r="E22" s="601">
        <f t="shared" ref="E22:F22" si="45">SUM(E19:E21)</f>
        <v>7005983.7000000002</v>
      </c>
      <c r="F22" s="650">
        <f t="shared" si="45"/>
        <v>6.7299999999999995</v>
      </c>
      <c r="G22" s="601">
        <f t="shared" ref="G22:H22" si="46">SUM(G19:G21)</f>
        <v>7005983.7000000002</v>
      </c>
      <c r="H22" s="650">
        <f t="shared" si="46"/>
        <v>6.7299999999999995</v>
      </c>
      <c r="I22" s="601">
        <f t="shared" ref="I22:J22" si="47">SUM(I19:I21)</f>
        <v>7005983.7000000002</v>
      </c>
      <c r="J22" s="650">
        <f t="shared" si="47"/>
        <v>6.74</v>
      </c>
      <c r="K22" s="601">
        <f t="shared" ref="K22:L22" si="48">SUM(K19:K21)</f>
        <v>7005983.7000000002</v>
      </c>
      <c r="L22" s="650">
        <f t="shared" si="48"/>
        <v>6.76</v>
      </c>
      <c r="M22" s="601">
        <f t="shared" ref="M22:N22" si="49">SUM(M19:M21)</f>
        <v>7005983.7000000002</v>
      </c>
      <c r="N22" s="650">
        <f t="shared" si="49"/>
        <v>6.74</v>
      </c>
      <c r="O22" s="601">
        <f t="shared" ref="O22:P22" si="50">SUM(O19:O21)</f>
        <v>7005983.7000000002</v>
      </c>
      <c r="P22" s="650">
        <f t="shared" si="50"/>
        <v>6.74</v>
      </c>
      <c r="Q22" s="601">
        <f t="shared" ref="Q22:R22" si="51">SUM(Q19:Q21)</f>
        <v>7005983.7000000002</v>
      </c>
      <c r="R22" s="650">
        <f t="shared" si="51"/>
        <v>6.7299999999999995</v>
      </c>
      <c r="S22" s="601">
        <f t="shared" ref="S22:T22" si="52">SUM(S19:S21)</f>
        <v>7005983.7000000002</v>
      </c>
      <c r="T22" s="650">
        <f t="shared" si="52"/>
        <v>6.74</v>
      </c>
      <c r="U22" s="601">
        <f t="shared" ref="U22:V22" si="53">SUM(U19:U21)</f>
        <v>7005983.7000000002</v>
      </c>
      <c r="V22" s="650">
        <f t="shared" si="53"/>
        <v>6.76</v>
      </c>
      <c r="W22" s="601">
        <f t="shared" ref="W22:X22" si="54">SUM(W19:W21)</f>
        <v>7005983.7000000002</v>
      </c>
      <c r="X22" s="650">
        <f t="shared" si="54"/>
        <v>6.74</v>
      </c>
      <c r="Y22" s="601">
        <f t="shared" ref="Y22:Z22" si="55">SUM(Y19:Y21)</f>
        <v>7005983.7000000002</v>
      </c>
      <c r="Z22" s="650">
        <f t="shared" si="55"/>
        <v>6.74</v>
      </c>
      <c r="AA22" s="601">
        <f t="shared" ref="AA22:AB22" si="56">SUM(AA19:AA21)</f>
        <v>7005983.7000000002</v>
      </c>
      <c r="AB22" s="650">
        <f t="shared" si="56"/>
        <v>6.75</v>
      </c>
      <c r="AC22" s="601">
        <f t="shared" ref="AC22:AD22" si="57">SUM(AC19:AC21)</f>
        <v>7005983.7000000002</v>
      </c>
      <c r="AD22" s="650">
        <f t="shared" si="57"/>
        <v>6.72</v>
      </c>
      <c r="AE22" s="601">
        <f t="shared" ref="AE22:AH22" si="58">SUM(AE19:AE21)</f>
        <v>7005983.7000000002</v>
      </c>
      <c r="AF22" s="650">
        <f t="shared" si="58"/>
        <v>6.72</v>
      </c>
      <c r="AG22" s="601">
        <f t="shared" si="58"/>
        <v>7005983.7000000002</v>
      </c>
      <c r="AH22" s="650">
        <f t="shared" si="58"/>
        <v>6.72</v>
      </c>
      <c r="AI22" s="601">
        <f t="shared" ref="AI22:AJ22" si="59">SUM(AI19:AI21)</f>
        <v>7005983.7000000002</v>
      </c>
      <c r="AJ22" s="650">
        <f t="shared" si="59"/>
        <v>6.72</v>
      </c>
      <c r="AK22" s="601">
        <f t="shared" ref="AK22:AL22" si="60">SUM(AK19:AK21)</f>
        <v>7005983.7000000002</v>
      </c>
      <c r="AL22" s="650">
        <f t="shared" si="60"/>
        <v>6.72</v>
      </c>
      <c r="AM22" s="601">
        <f t="shared" ref="AM22:AN22" si="61">SUM(AM19:AM21)</f>
        <v>7005983.7000000002</v>
      </c>
      <c r="AN22" s="650">
        <f t="shared" si="61"/>
        <v>6.71</v>
      </c>
      <c r="AO22" s="601">
        <f t="shared" ref="AO22:AP22" si="62">SUM(AO19:AO21)</f>
        <v>7005983.7000000002</v>
      </c>
      <c r="AP22" s="650">
        <f t="shared" si="62"/>
        <v>6.72</v>
      </c>
      <c r="AQ22" s="601">
        <f t="shared" ref="AQ22:AR22" si="63">SUM(AQ19:AQ21)</f>
        <v>7005983.7000000002</v>
      </c>
      <c r="AR22" s="650">
        <f t="shared" si="63"/>
        <v>6.72</v>
      </c>
      <c r="AS22" s="601">
        <f t="shared" ref="AS22:AT22" si="64">SUM(AS19:AS21)</f>
        <v>7005983.7000000002</v>
      </c>
      <c r="AT22" s="650">
        <f t="shared" si="64"/>
        <v>6.71</v>
      </c>
      <c r="AU22" s="601">
        <f t="shared" ref="AU22:AV22" si="65">SUM(AU19:AU21)</f>
        <v>7005983.7000000002</v>
      </c>
      <c r="AV22" s="650">
        <f t="shared" si="65"/>
        <v>6.7</v>
      </c>
    </row>
    <row r="23" spans="1:48" ht="15">
      <c r="A23" s="553" t="s">
        <v>45</v>
      </c>
      <c r="B23" s="478" t="s">
        <v>58</v>
      </c>
      <c r="C23" s="464">
        <v>163410.01999999999</v>
      </c>
      <c r="D23" s="731">
        <v>0.16</v>
      </c>
      <c r="E23" s="464">
        <v>163410.01999999999</v>
      </c>
      <c r="F23" s="731">
        <v>0.16</v>
      </c>
      <c r="G23" s="464">
        <v>620.1</v>
      </c>
      <c r="H23" s="731">
        <v>0</v>
      </c>
      <c r="I23" s="464">
        <v>620.1</v>
      </c>
      <c r="J23" s="731">
        <v>0</v>
      </c>
      <c r="K23" s="464">
        <v>6918.86</v>
      </c>
      <c r="L23" s="731">
        <v>0.01</v>
      </c>
      <c r="M23" s="464">
        <v>16459.259999999998</v>
      </c>
      <c r="N23" s="731">
        <v>0.01</v>
      </c>
      <c r="O23" s="464">
        <v>16459.259999999998</v>
      </c>
      <c r="P23" s="731">
        <v>0.02</v>
      </c>
      <c r="Q23" s="464">
        <v>16459.259999999998</v>
      </c>
      <c r="R23" s="731">
        <v>0.02</v>
      </c>
      <c r="S23" s="464">
        <v>16459.259999999998</v>
      </c>
      <c r="T23" s="731">
        <v>0.02</v>
      </c>
      <c r="U23" s="464">
        <v>16459.259999999998</v>
      </c>
      <c r="V23" s="731">
        <v>0.02</v>
      </c>
      <c r="W23" s="464">
        <v>16459.259999999998</v>
      </c>
      <c r="X23" s="731">
        <v>0.02</v>
      </c>
      <c r="Y23" s="464">
        <v>16459.259999999998</v>
      </c>
      <c r="Z23" s="731">
        <v>0.02</v>
      </c>
      <c r="AA23" s="464">
        <v>43965.05</v>
      </c>
      <c r="AB23" s="731">
        <v>0.04</v>
      </c>
      <c r="AC23" s="464">
        <v>43965.05</v>
      </c>
      <c r="AD23" s="731">
        <v>0.04</v>
      </c>
      <c r="AE23" s="464">
        <v>43965.05</v>
      </c>
      <c r="AF23" s="731">
        <v>0.04</v>
      </c>
      <c r="AG23" s="464">
        <v>43965.05</v>
      </c>
      <c r="AH23" s="731">
        <v>0.04</v>
      </c>
      <c r="AI23" s="464">
        <v>167385.04999999999</v>
      </c>
      <c r="AJ23" s="731">
        <v>0.16</v>
      </c>
      <c r="AK23" s="464">
        <v>167385.04999999999</v>
      </c>
      <c r="AL23" s="731">
        <v>0.16</v>
      </c>
      <c r="AM23" s="464">
        <v>177083.68</v>
      </c>
      <c r="AN23" s="731">
        <v>0.17</v>
      </c>
      <c r="AO23" s="464">
        <v>605787.78</v>
      </c>
      <c r="AP23" s="731">
        <v>0.57999999999999996</v>
      </c>
      <c r="AQ23" s="464">
        <v>5787.78</v>
      </c>
      <c r="AR23" s="731">
        <v>0.01</v>
      </c>
      <c r="AS23" s="464">
        <v>102950.21</v>
      </c>
      <c r="AT23" s="731">
        <v>0.1</v>
      </c>
      <c r="AU23" s="464">
        <v>102950.21</v>
      </c>
      <c r="AV23" s="731">
        <v>0.1</v>
      </c>
    </row>
    <row r="24" spans="1:48" thickBot="1">
      <c r="A24" s="553" t="s">
        <v>45</v>
      </c>
      <c r="B24" s="478" t="s">
        <v>58</v>
      </c>
      <c r="C24" s="464">
        <v>7584.74</v>
      </c>
      <c r="D24" s="731">
        <v>0.01</v>
      </c>
      <c r="E24" s="464">
        <v>7584.74</v>
      </c>
      <c r="F24" s="731">
        <v>0.01</v>
      </c>
      <c r="G24" s="464">
        <v>134128.21</v>
      </c>
      <c r="H24" s="731">
        <v>0.13</v>
      </c>
      <c r="I24" s="482">
        <v>56352.92</v>
      </c>
      <c r="J24" s="731">
        <v>0.05</v>
      </c>
      <c r="K24" s="464">
        <v>69755.92</v>
      </c>
      <c r="L24" s="731">
        <v>7.0000000000000007E-2</v>
      </c>
      <c r="M24" s="464">
        <v>69755.92</v>
      </c>
      <c r="N24" s="731">
        <v>7.0000000000000007E-2</v>
      </c>
      <c r="O24" s="464">
        <v>69755.92</v>
      </c>
      <c r="P24" s="731">
        <v>7.0000000000000007E-2</v>
      </c>
      <c r="Q24" s="464">
        <v>73550.92</v>
      </c>
      <c r="R24" s="731">
        <v>7.0000000000000007E-2</v>
      </c>
      <c r="S24" s="464">
        <v>73550.92</v>
      </c>
      <c r="T24" s="731">
        <v>7.0000000000000007E-2</v>
      </c>
      <c r="U24" s="464">
        <v>34347.129999999997</v>
      </c>
      <c r="V24" s="731">
        <v>0.03</v>
      </c>
      <c r="W24" s="464">
        <v>34347.129999999997</v>
      </c>
      <c r="X24" s="731">
        <v>0.03</v>
      </c>
      <c r="Y24" s="464">
        <v>34347.129999999997</v>
      </c>
      <c r="Z24" s="731">
        <v>0.03</v>
      </c>
      <c r="AA24" s="464">
        <v>34347.129999999997</v>
      </c>
      <c r="AB24" s="731">
        <v>0.03</v>
      </c>
      <c r="AC24" s="464">
        <v>34347.129999999997</v>
      </c>
      <c r="AD24" s="731">
        <v>0.03</v>
      </c>
      <c r="AE24" s="464">
        <v>34347.129999999997</v>
      </c>
      <c r="AF24" s="731">
        <v>0.03</v>
      </c>
      <c r="AG24" s="464">
        <v>34347.129999999997</v>
      </c>
      <c r="AH24" s="731">
        <v>0.03</v>
      </c>
      <c r="AI24" s="464">
        <v>34347.129999999997</v>
      </c>
      <c r="AJ24" s="731">
        <v>0.03</v>
      </c>
      <c r="AK24" s="464">
        <v>34347.129999999997</v>
      </c>
      <c r="AL24" s="731">
        <v>0.03</v>
      </c>
      <c r="AM24" s="464">
        <v>57485.13</v>
      </c>
      <c r="AN24" s="731">
        <v>0.06</v>
      </c>
      <c r="AO24" s="464">
        <v>60012.3</v>
      </c>
      <c r="AP24" s="731">
        <v>0.06</v>
      </c>
      <c r="AQ24" s="464">
        <v>4459.8500000000004</v>
      </c>
      <c r="AR24" s="731">
        <v>0</v>
      </c>
      <c r="AS24" s="464">
        <v>4459.8500000000004</v>
      </c>
      <c r="AT24" s="731">
        <v>0</v>
      </c>
      <c r="AU24" s="464">
        <v>4459.8500000000004</v>
      </c>
      <c r="AV24" s="731">
        <v>0</v>
      </c>
    </row>
    <row r="25" spans="1:48" ht="15">
      <c r="A25" s="554" t="s">
        <v>47</v>
      </c>
      <c r="B25" s="478" t="s">
        <v>58</v>
      </c>
      <c r="C25" s="48">
        <v>3000000</v>
      </c>
      <c r="D25" s="731">
        <v>2.88</v>
      </c>
      <c r="E25" s="48">
        <v>3000000</v>
      </c>
      <c r="F25" s="731">
        <v>2.89</v>
      </c>
      <c r="G25" s="48">
        <v>3000000</v>
      </c>
      <c r="H25" s="731">
        <v>2.88</v>
      </c>
      <c r="I25" s="48">
        <v>3000000</v>
      </c>
      <c r="J25" s="731">
        <v>2.89</v>
      </c>
      <c r="K25" s="48">
        <v>3000000</v>
      </c>
      <c r="L25" s="731">
        <v>2.89</v>
      </c>
      <c r="M25" s="48">
        <v>3000000</v>
      </c>
      <c r="N25" s="731">
        <v>2.89</v>
      </c>
      <c r="O25" s="48">
        <v>3000000</v>
      </c>
      <c r="P25" s="731">
        <v>2.88</v>
      </c>
      <c r="Q25" s="48">
        <v>3000000</v>
      </c>
      <c r="R25" s="731">
        <v>2.88</v>
      </c>
      <c r="S25" s="48">
        <v>3000000</v>
      </c>
      <c r="T25" s="731">
        <v>2.8800000000000003</v>
      </c>
      <c r="U25" s="48">
        <v>3000000</v>
      </c>
      <c r="V25" s="731">
        <v>2.89</v>
      </c>
      <c r="W25" s="48">
        <v>3000000</v>
      </c>
      <c r="X25" s="731">
        <v>2.89</v>
      </c>
      <c r="Y25" s="48">
        <v>3000000</v>
      </c>
      <c r="Z25" s="731">
        <v>2.89</v>
      </c>
      <c r="AA25" s="48">
        <v>3000000</v>
      </c>
      <c r="AB25" s="731">
        <v>2.89</v>
      </c>
      <c r="AC25" s="48">
        <v>3000000</v>
      </c>
      <c r="AD25" s="731">
        <v>2.88</v>
      </c>
      <c r="AE25" s="48">
        <v>3000000</v>
      </c>
      <c r="AF25" s="731">
        <v>2.88</v>
      </c>
      <c r="AG25" s="48">
        <v>3000000</v>
      </c>
      <c r="AH25" s="731">
        <v>2.88</v>
      </c>
      <c r="AI25" s="48">
        <v>3000000</v>
      </c>
      <c r="AJ25" s="731">
        <v>2.88</v>
      </c>
      <c r="AK25" s="48">
        <v>3000000</v>
      </c>
      <c r="AL25" s="731">
        <v>2.88</v>
      </c>
      <c r="AM25" s="48">
        <v>3000000</v>
      </c>
      <c r="AN25" s="731">
        <v>2.87</v>
      </c>
      <c r="AO25" s="48">
        <v>3000000</v>
      </c>
      <c r="AP25" s="731">
        <v>2.88</v>
      </c>
      <c r="AQ25" s="48">
        <v>3000000</v>
      </c>
      <c r="AR25" s="731">
        <v>2.88</v>
      </c>
      <c r="AS25" s="48">
        <v>3000000</v>
      </c>
      <c r="AT25" s="731">
        <v>2.87</v>
      </c>
      <c r="AU25" s="48">
        <v>3000000</v>
      </c>
      <c r="AV25" s="731">
        <v>2.87</v>
      </c>
    </row>
    <row r="26" spans="1:48" ht="15">
      <c r="A26" s="553" t="s">
        <v>47</v>
      </c>
      <c r="B26" s="478" t="s">
        <v>58</v>
      </c>
      <c r="C26" s="489">
        <v>1278000</v>
      </c>
      <c r="D26" s="731">
        <v>1.23</v>
      </c>
      <c r="E26" s="489">
        <v>1278000</v>
      </c>
      <c r="F26" s="731">
        <v>1.23</v>
      </c>
      <c r="G26" s="489">
        <v>1278000</v>
      </c>
      <c r="H26" s="731">
        <v>1.23</v>
      </c>
      <c r="I26" s="585">
        <v>828000</v>
      </c>
      <c r="J26" s="731">
        <v>0.8</v>
      </c>
      <c r="K26" s="585">
        <v>828000</v>
      </c>
      <c r="L26" s="731">
        <v>0.8</v>
      </c>
      <c r="M26" s="585">
        <v>828000</v>
      </c>
      <c r="N26" s="731">
        <v>0.8</v>
      </c>
      <c r="O26" s="489">
        <v>828000</v>
      </c>
      <c r="P26" s="731">
        <v>0.8</v>
      </c>
      <c r="Q26" s="489">
        <v>828000</v>
      </c>
      <c r="R26" s="731">
        <v>0.8</v>
      </c>
      <c r="S26" s="489">
        <v>828000</v>
      </c>
      <c r="T26" s="731">
        <v>0.79</v>
      </c>
      <c r="U26" s="585">
        <v>728000</v>
      </c>
      <c r="V26" s="731">
        <v>0.7</v>
      </c>
      <c r="W26" s="585">
        <v>728000</v>
      </c>
      <c r="X26" s="731">
        <v>0.7</v>
      </c>
      <c r="Y26" s="585">
        <v>728000</v>
      </c>
      <c r="Z26" s="731">
        <v>0.7</v>
      </c>
      <c r="AA26" s="585">
        <v>728000</v>
      </c>
      <c r="AB26" s="731">
        <v>0.7</v>
      </c>
      <c r="AC26" s="585">
        <v>728000</v>
      </c>
      <c r="AD26" s="731">
        <v>0.7</v>
      </c>
      <c r="AE26" s="585">
        <v>728000</v>
      </c>
      <c r="AF26" s="731">
        <v>0.7</v>
      </c>
      <c r="AG26" s="585">
        <v>728000</v>
      </c>
      <c r="AH26" s="731">
        <v>0.7</v>
      </c>
      <c r="AI26" s="585">
        <v>728000</v>
      </c>
      <c r="AJ26" s="731">
        <v>0.7</v>
      </c>
      <c r="AK26" s="585">
        <v>728000</v>
      </c>
      <c r="AL26" s="731">
        <v>0.7</v>
      </c>
      <c r="AM26" s="585">
        <v>728000</v>
      </c>
      <c r="AN26" s="731">
        <v>0.7</v>
      </c>
      <c r="AO26" s="585">
        <v>728000</v>
      </c>
      <c r="AP26" s="731">
        <v>0.7</v>
      </c>
      <c r="AQ26" s="464">
        <v>1278000</v>
      </c>
      <c r="AR26" s="731">
        <v>1.22</v>
      </c>
      <c r="AS26" s="464">
        <v>1278000</v>
      </c>
      <c r="AT26" s="731">
        <v>1.22</v>
      </c>
      <c r="AU26" s="464">
        <v>1278000</v>
      </c>
      <c r="AV26" s="731">
        <v>1.22</v>
      </c>
    </row>
    <row r="27" spans="1:48" ht="15">
      <c r="A27" s="553" t="s">
        <v>47</v>
      </c>
      <c r="B27" s="478" t="s">
        <v>100</v>
      </c>
      <c r="C27" s="48">
        <v>2000000</v>
      </c>
      <c r="D27" s="732">
        <v>1.92</v>
      </c>
      <c r="E27" s="48">
        <v>2000000</v>
      </c>
      <c r="F27" s="732">
        <v>1.93</v>
      </c>
      <c r="G27" s="48">
        <v>2000000</v>
      </c>
      <c r="H27" s="732">
        <v>1.92</v>
      </c>
      <c r="I27" s="48">
        <v>2000000</v>
      </c>
      <c r="J27" s="732">
        <v>1.92</v>
      </c>
      <c r="K27" s="48">
        <v>2000000</v>
      </c>
      <c r="L27" s="732">
        <v>1.93</v>
      </c>
      <c r="M27" s="48">
        <v>2000000</v>
      </c>
      <c r="N27" s="732">
        <v>1.92</v>
      </c>
      <c r="O27" s="48">
        <v>2000000</v>
      </c>
      <c r="P27" s="732">
        <v>1.92</v>
      </c>
      <c r="Q27" s="48">
        <v>2000000</v>
      </c>
      <c r="R27" s="732">
        <v>1.92</v>
      </c>
      <c r="S27" s="48">
        <v>2000000</v>
      </c>
      <c r="T27" s="732">
        <v>1.92</v>
      </c>
      <c r="U27" s="48">
        <v>2000000</v>
      </c>
      <c r="V27" s="732">
        <v>1.93</v>
      </c>
      <c r="W27" s="48">
        <v>2000000</v>
      </c>
      <c r="X27" s="732">
        <v>1.93</v>
      </c>
      <c r="Y27" s="48">
        <v>2000000</v>
      </c>
      <c r="Z27" s="732">
        <v>1.93</v>
      </c>
      <c r="AA27" s="48">
        <v>2000000</v>
      </c>
      <c r="AB27" s="732">
        <v>1.92</v>
      </c>
      <c r="AC27" s="48">
        <v>2000000</v>
      </c>
      <c r="AD27" s="732">
        <v>1.92</v>
      </c>
      <c r="AE27" s="48">
        <v>2000000</v>
      </c>
      <c r="AF27" s="732">
        <v>1.92</v>
      </c>
      <c r="AG27" s="48">
        <v>2000000</v>
      </c>
      <c r="AH27" s="732">
        <v>1.92</v>
      </c>
      <c r="AI27" s="48">
        <v>2000000</v>
      </c>
      <c r="AJ27" s="732">
        <v>1.92</v>
      </c>
      <c r="AK27" s="48">
        <v>2000000</v>
      </c>
      <c r="AL27" s="732">
        <v>1.92</v>
      </c>
      <c r="AM27" s="48">
        <v>2000000</v>
      </c>
      <c r="AN27" s="732">
        <v>1.92</v>
      </c>
      <c r="AO27" s="48">
        <v>2000000</v>
      </c>
      <c r="AP27" s="732">
        <v>1.92</v>
      </c>
      <c r="AQ27" s="48">
        <v>2000000</v>
      </c>
      <c r="AR27" s="732">
        <v>1.92</v>
      </c>
      <c r="AS27" s="48">
        <v>2000000</v>
      </c>
      <c r="AT27" s="732">
        <v>1.91</v>
      </c>
      <c r="AU27" s="48">
        <v>2000000</v>
      </c>
      <c r="AV27" s="732">
        <v>1.91</v>
      </c>
    </row>
    <row r="28" spans="1:48" ht="15">
      <c r="A28" s="554" t="s">
        <v>47</v>
      </c>
      <c r="B28" s="478" t="s">
        <v>103</v>
      </c>
      <c r="C28" s="48">
        <v>9000000</v>
      </c>
      <c r="D28" s="731">
        <v>8.65</v>
      </c>
      <c r="E28" s="48">
        <v>9000000</v>
      </c>
      <c r="F28" s="731">
        <v>8.66</v>
      </c>
      <c r="G28" s="48">
        <v>9000000</v>
      </c>
      <c r="H28" s="731">
        <v>8.64</v>
      </c>
      <c r="I28" s="48">
        <v>9000000</v>
      </c>
      <c r="J28" s="731">
        <v>8.66</v>
      </c>
      <c r="K28" s="48">
        <v>9000000</v>
      </c>
      <c r="L28" s="731">
        <v>8.68</v>
      </c>
      <c r="M28" s="48">
        <v>9000000</v>
      </c>
      <c r="N28" s="731">
        <v>8.66</v>
      </c>
      <c r="O28" s="48">
        <v>9000000</v>
      </c>
      <c r="P28" s="731">
        <v>8.65</v>
      </c>
      <c r="Q28" s="48">
        <v>9000000</v>
      </c>
      <c r="R28" s="731">
        <v>8.65</v>
      </c>
      <c r="S28" s="48">
        <v>9000000</v>
      </c>
      <c r="T28" s="731">
        <v>8.66</v>
      </c>
      <c r="U28" s="48">
        <v>9000000</v>
      </c>
      <c r="V28" s="731">
        <v>8.68</v>
      </c>
      <c r="W28" s="48">
        <v>9000000</v>
      </c>
      <c r="X28" s="731">
        <v>8.66</v>
      </c>
      <c r="Y28" s="48">
        <v>9000000</v>
      </c>
      <c r="Z28" s="731">
        <v>8.67</v>
      </c>
      <c r="AA28" s="48">
        <v>9000000</v>
      </c>
      <c r="AB28" s="731">
        <v>8.66</v>
      </c>
      <c r="AC28" s="48">
        <v>9000000</v>
      </c>
      <c r="AD28" s="731">
        <v>8.64</v>
      </c>
      <c r="AE28" s="48">
        <v>9000000</v>
      </c>
      <c r="AF28" s="731">
        <v>8.6300000000000008</v>
      </c>
      <c r="AG28" s="48">
        <v>9000000</v>
      </c>
      <c r="AH28" s="731">
        <v>8.6300000000000008</v>
      </c>
      <c r="AI28" s="48">
        <v>9000000</v>
      </c>
      <c r="AJ28" s="731">
        <v>8.6300000000000008</v>
      </c>
      <c r="AK28" s="48">
        <v>9000000</v>
      </c>
      <c r="AL28" s="731">
        <v>8.64</v>
      </c>
      <c r="AM28" s="48">
        <v>9000000</v>
      </c>
      <c r="AN28" s="731">
        <v>8.6199999999999992</v>
      </c>
      <c r="AO28" s="48">
        <v>9000000</v>
      </c>
      <c r="AP28" s="731">
        <v>8.6300000000000008</v>
      </c>
      <c r="AQ28" s="48">
        <v>9000000</v>
      </c>
      <c r="AR28" s="731">
        <v>8.6300000000000008</v>
      </c>
      <c r="AS28" s="48">
        <v>9000000</v>
      </c>
      <c r="AT28" s="731">
        <v>8.61</v>
      </c>
      <c r="AU28" s="48">
        <v>9000000</v>
      </c>
      <c r="AV28" s="731">
        <v>8.6</v>
      </c>
    </row>
    <row r="29" spans="1:48" ht="15">
      <c r="A29" s="554" t="s">
        <v>47</v>
      </c>
      <c r="B29" s="478" t="s">
        <v>95</v>
      </c>
      <c r="C29" s="48">
        <v>5000000</v>
      </c>
      <c r="D29" s="731">
        <v>4.8099999999999996</v>
      </c>
      <c r="E29" s="48">
        <v>5000000</v>
      </c>
      <c r="F29" s="731">
        <v>4.8099999999999996</v>
      </c>
      <c r="G29" s="48">
        <v>5000000</v>
      </c>
      <c r="H29" s="731">
        <v>4.8</v>
      </c>
      <c r="I29" s="48">
        <v>5000000</v>
      </c>
      <c r="J29" s="731">
        <v>4.8099999999999996</v>
      </c>
      <c r="K29" s="48">
        <v>5000000</v>
      </c>
      <c r="L29" s="731">
        <v>4.82</v>
      </c>
      <c r="M29" s="48">
        <v>5000000</v>
      </c>
      <c r="N29" s="731">
        <v>4.8099999999999996</v>
      </c>
      <c r="O29" s="48">
        <v>5000000</v>
      </c>
      <c r="P29" s="731">
        <v>4.8099999999999996</v>
      </c>
      <c r="Q29" s="48">
        <v>5000000</v>
      </c>
      <c r="R29" s="731">
        <v>4.8099999999999996</v>
      </c>
      <c r="S29" s="48">
        <v>5000000</v>
      </c>
      <c r="T29" s="731">
        <v>4.8099999999999996</v>
      </c>
      <c r="U29" s="48">
        <v>5000000</v>
      </c>
      <c r="V29" s="731">
        <v>4.82</v>
      </c>
      <c r="W29" s="48">
        <v>5000000</v>
      </c>
      <c r="X29" s="731">
        <v>4.8099999999999996</v>
      </c>
      <c r="Y29" s="48">
        <v>5000000</v>
      </c>
      <c r="Z29" s="731">
        <v>4.8099999999999996</v>
      </c>
      <c r="AA29" s="48">
        <v>5000000</v>
      </c>
      <c r="AB29" s="731">
        <v>4.8099999999999996</v>
      </c>
      <c r="AC29" s="48">
        <v>5000000</v>
      </c>
      <c r="AD29" s="731">
        <v>4.8</v>
      </c>
      <c r="AE29" s="48">
        <v>5000000</v>
      </c>
      <c r="AF29" s="731">
        <v>4.79</v>
      </c>
      <c r="AG29" s="48">
        <v>5000000</v>
      </c>
      <c r="AH29" s="731">
        <v>4.8</v>
      </c>
      <c r="AI29" s="48">
        <v>5000000</v>
      </c>
      <c r="AJ29" s="731">
        <v>4.79</v>
      </c>
      <c r="AK29" s="48">
        <v>5000000</v>
      </c>
      <c r="AL29" s="731">
        <v>4.8</v>
      </c>
      <c r="AM29" s="48">
        <v>5000000</v>
      </c>
      <c r="AN29" s="731">
        <v>4.79</v>
      </c>
      <c r="AO29" s="48">
        <v>5000000</v>
      </c>
      <c r="AP29" s="731">
        <v>4.79</v>
      </c>
      <c r="AQ29" s="48">
        <v>5000000</v>
      </c>
      <c r="AR29" s="731">
        <v>4.79</v>
      </c>
      <c r="AS29" s="48">
        <v>5000000</v>
      </c>
      <c r="AT29" s="731">
        <v>4.79</v>
      </c>
      <c r="AU29" s="48">
        <v>5000000</v>
      </c>
      <c r="AV29" s="731">
        <v>4.78</v>
      </c>
    </row>
    <row r="30" spans="1:48" ht="15">
      <c r="A30" s="554" t="s">
        <v>47</v>
      </c>
      <c r="B30" s="478" t="s">
        <v>125</v>
      </c>
      <c r="C30" s="48">
        <v>4500000</v>
      </c>
      <c r="D30" s="731">
        <v>4.33</v>
      </c>
      <c r="E30" s="48">
        <v>4500000</v>
      </c>
      <c r="F30" s="731">
        <v>4.33</v>
      </c>
      <c r="G30" s="48">
        <v>4500000</v>
      </c>
      <c r="H30" s="731">
        <v>4.32</v>
      </c>
      <c r="I30" s="48">
        <v>4500000</v>
      </c>
      <c r="J30" s="731">
        <v>4.33</v>
      </c>
      <c r="K30" s="48">
        <v>4500000</v>
      </c>
      <c r="L30" s="731">
        <v>4.34</v>
      </c>
      <c r="M30" s="48">
        <v>4500000</v>
      </c>
      <c r="N30" s="731">
        <v>4.33</v>
      </c>
      <c r="O30" s="48">
        <v>4500000</v>
      </c>
      <c r="P30" s="731">
        <v>4.33</v>
      </c>
      <c r="Q30" s="48">
        <v>4500000</v>
      </c>
      <c r="R30" s="731">
        <v>4.32</v>
      </c>
      <c r="S30" s="48">
        <v>4500000</v>
      </c>
      <c r="T30" s="731">
        <v>4.33</v>
      </c>
      <c r="U30" s="48">
        <v>4500000</v>
      </c>
      <c r="V30" s="731">
        <v>4.34</v>
      </c>
      <c r="W30" s="48">
        <v>4500000</v>
      </c>
      <c r="X30" s="731">
        <v>4.33</v>
      </c>
      <c r="Y30" s="48">
        <v>4500000</v>
      </c>
      <c r="Z30" s="731">
        <v>4.33</v>
      </c>
      <c r="AA30" s="48">
        <v>4500000</v>
      </c>
      <c r="AB30" s="731">
        <v>4.33</v>
      </c>
      <c r="AC30" s="48">
        <v>4500000</v>
      </c>
      <c r="AD30" s="731">
        <v>4.32</v>
      </c>
      <c r="AE30" s="48">
        <v>4500000</v>
      </c>
      <c r="AF30" s="731">
        <v>4.32</v>
      </c>
      <c r="AG30" s="48">
        <v>4500000</v>
      </c>
      <c r="AH30" s="731">
        <v>4.32</v>
      </c>
      <c r="AI30" s="48">
        <v>4500000</v>
      </c>
      <c r="AJ30" s="731">
        <v>4.32</v>
      </c>
      <c r="AK30" s="48">
        <v>4500000</v>
      </c>
      <c r="AL30" s="731">
        <v>4.32</v>
      </c>
      <c r="AM30" s="48">
        <v>4500000</v>
      </c>
      <c r="AN30" s="731">
        <v>4.3099999999999996</v>
      </c>
      <c r="AO30" s="48">
        <v>4500000</v>
      </c>
      <c r="AP30" s="731">
        <v>4.32</v>
      </c>
      <c r="AQ30" s="48">
        <v>4500000</v>
      </c>
      <c r="AR30" s="731">
        <v>4.3099999999999996</v>
      </c>
      <c r="AS30" s="48">
        <v>4500000</v>
      </c>
      <c r="AT30" s="731">
        <v>4.3099999999999996</v>
      </c>
      <c r="AU30" s="48">
        <v>4500000</v>
      </c>
      <c r="AV30" s="731">
        <v>4.3</v>
      </c>
    </row>
    <row r="31" spans="1:48" thickBot="1">
      <c r="A31" s="554" t="s">
        <v>47</v>
      </c>
      <c r="B31" s="478" t="s">
        <v>125</v>
      </c>
      <c r="C31" s="48">
        <v>1000000</v>
      </c>
      <c r="D31" s="731">
        <v>0.96</v>
      </c>
      <c r="E31" s="48">
        <v>1000000</v>
      </c>
      <c r="F31" s="731">
        <v>0.96</v>
      </c>
      <c r="G31" s="48">
        <v>1000000</v>
      </c>
      <c r="H31" s="731">
        <v>0.96</v>
      </c>
      <c r="I31" s="48">
        <v>1000000</v>
      </c>
      <c r="J31" s="731">
        <v>0.96</v>
      </c>
      <c r="K31" s="48">
        <v>1000000</v>
      </c>
      <c r="L31" s="731">
        <v>0.96</v>
      </c>
      <c r="M31" s="48">
        <v>1000000</v>
      </c>
      <c r="N31" s="731">
        <v>0.96</v>
      </c>
      <c r="O31" s="48">
        <v>1000000</v>
      </c>
      <c r="P31" s="731">
        <v>0.96</v>
      </c>
      <c r="Q31" s="48">
        <v>1000000</v>
      </c>
      <c r="R31" s="731">
        <v>0.96</v>
      </c>
      <c r="S31" s="48">
        <v>1000000</v>
      </c>
      <c r="T31" s="731">
        <v>0.96</v>
      </c>
      <c r="U31" s="48">
        <v>1000000</v>
      </c>
      <c r="V31" s="731">
        <v>0.96</v>
      </c>
      <c r="W31" s="48">
        <v>1000000</v>
      </c>
      <c r="X31" s="731">
        <v>0.96</v>
      </c>
      <c r="Y31" s="48">
        <v>1000000</v>
      </c>
      <c r="Z31" s="731">
        <v>0.96</v>
      </c>
      <c r="AA31" s="48">
        <v>1000000</v>
      </c>
      <c r="AB31" s="731">
        <v>0.96</v>
      </c>
      <c r="AC31" s="48">
        <v>1000000</v>
      </c>
      <c r="AD31" s="731">
        <v>0.96</v>
      </c>
      <c r="AE31" s="48">
        <v>1000000</v>
      </c>
      <c r="AF31" s="731">
        <v>0.96</v>
      </c>
      <c r="AG31" s="48">
        <v>1000000</v>
      </c>
      <c r="AH31" s="731">
        <v>0.96</v>
      </c>
      <c r="AI31" s="48">
        <v>1000000</v>
      </c>
      <c r="AJ31" s="731">
        <v>0.96</v>
      </c>
      <c r="AK31" s="48">
        <v>1000000</v>
      </c>
      <c r="AL31" s="731">
        <v>0.96</v>
      </c>
      <c r="AM31" s="48">
        <v>1000000</v>
      </c>
      <c r="AN31" s="731">
        <v>0.96</v>
      </c>
      <c r="AO31" s="48">
        <v>1000000</v>
      </c>
      <c r="AP31" s="731">
        <v>0.96</v>
      </c>
      <c r="AQ31" s="48">
        <v>1000000</v>
      </c>
      <c r="AR31" s="731">
        <v>0.96</v>
      </c>
      <c r="AS31" s="48">
        <v>1000000</v>
      </c>
      <c r="AT31" s="731">
        <v>0.96</v>
      </c>
      <c r="AU31" s="48">
        <v>1000000</v>
      </c>
      <c r="AV31" s="731">
        <v>0.96</v>
      </c>
    </row>
    <row r="32" spans="1:48" ht="16.5" thickBot="1">
      <c r="A32" s="1028" t="s">
        <v>111</v>
      </c>
      <c r="B32" s="1028"/>
      <c r="C32" s="601">
        <f t="shared" ref="C32:J32" si="66">SUM(C23:C31)</f>
        <v>25948994.759999998</v>
      </c>
      <c r="D32" s="650">
        <f t="shared" si="66"/>
        <v>24.950000000000003</v>
      </c>
      <c r="E32" s="601">
        <f t="shared" si="66"/>
        <v>25948994.759999998</v>
      </c>
      <c r="F32" s="650">
        <f t="shared" si="66"/>
        <v>24.979999999999997</v>
      </c>
      <c r="G32" s="601">
        <f t="shared" si="66"/>
        <v>25912748.310000002</v>
      </c>
      <c r="H32" s="650">
        <f t="shared" si="66"/>
        <v>24.880000000000003</v>
      </c>
      <c r="I32" s="601">
        <f t="shared" si="66"/>
        <v>25384973.02</v>
      </c>
      <c r="J32" s="650">
        <f t="shared" si="66"/>
        <v>24.42</v>
      </c>
      <c r="K32" s="601">
        <f t="shared" ref="K32:M32" si="67">SUM(K23:K31)</f>
        <v>25404674.780000001</v>
      </c>
      <c r="L32" s="650">
        <f t="shared" ref="L32:O32" si="68">SUM(L23:L31)</f>
        <v>24.5</v>
      </c>
      <c r="M32" s="601">
        <f t="shared" si="67"/>
        <v>25414215.18</v>
      </c>
      <c r="N32" s="650">
        <f t="shared" si="68"/>
        <v>24.450000000000003</v>
      </c>
      <c r="O32" s="601">
        <f t="shared" si="68"/>
        <v>25414215.18</v>
      </c>
      <c r="P32" s="650">
        <f t="shared" ref="P32:Q32" si="69">SUM(P23:P31)</f>
        <v>24.439999999999998</v>
      </c>
      <c r="Q32" s="601">
        <f t="shared" si="69"/>
        <v>25418010.18</v>
      </c>
      <c r="R32" s="650">
        <f t="shared" ref="R32:S32" si="70">SUM(R23:R31)</f>
        <v>24.43</v>
      </c>
      <c r="S32" s="601">
        <f t="shared" si="70"/>
        <v>25418010.18</v>
      </c>
      <c r="T32" s="650">
        <f t="shared" ref="T32:U32" si="71">SUM(T23:T31)</f>
        <v>24.439999999999998</v>
      </c>
      <c r="U32" s="601">
        <f t="shared" si="71"/>
        <v>25278806.390000001</v>
      </c>
      <c r="V32" s="650">
        <f t="shared" ref="V32:W32" si="72">SUM(V23:V31)</f>
        <v>24.37</v>
      </c>
      <c r="W32" s="601">
        <f t="shared" si="72"/>
        <v>25278806.390000001</v>
      </c>
      <c r="X32" s="650">
        <f t="shared" ref="X32:Y32" si="73">SUM(X23:X31)</f>
        <v>24.33</v>
      </c>
      <c r="Y32" s="601">
        <f t="shared" si="73"/>
        <v>25278806.390000001</v>
      </c>
      <c r="Z32" s="650">
        <f t="shared" ref="Z32:AA32" si="74">SUM(Z23:Z31)</f>
        <v>24.339999999999996</v>
      </c>
      <c r="AA32" s="601">
        <f t="shared" si="74"/>
        <v>25306312.18</v>
      </c>
      <c r="AB32" s="650">
        <f t="shared" ref="AB32:AC32" si="75">SUM(AB23:AB31)</f>
        <v>24.340000000000003</v>
      </c>
      <c r="AC32" s="601">
        <f t="shared" si="75"/>
        <v>25306312.18</v>
      </c>
      <c r="AD32" s="650">
        <f t="shared" ref="AD32:AE32" si="76">SUM(AD23:AD31)</f>
        <v>24.290000000000003</v>
      </c>
      <c r="AE32" s="601">
        <f t="shared" si="76"/>
        <v>25306312.18</v>
      </c>
      <c r="AF32" s="650">
        <f t="shared" ref="AF32:AH32" si="77">SUM(AF23:AF31)</f>
        <v>24.27</v>
      </c>
      <c r="AG32" s="601">
        <f t="shared" si="77"/>
        <v>25306312.18</v>
      </c>
      <c r="AH32" s="650">
        <f t="shared" si="77"/>
        <v>24.28</v>
      </c>
      <c r="AI32" s="601">
        <f t="shared" ref="AI32:AJ32" si="78">SUM(AI23:AI31)</f>
        <v>25429732.18</v>
      </c>
      <c r="AJ32" s="650">
        <f t="shared" si="78"/>
        <v>24.39</v>
      </c>
      <c r="AK32" s="601">
        <f t="shared" ref="AK32:AL32" si="79">SUM(AK23:AK31)</f>
        <v>25429732.18</v>
      </c>
      <c r="AL32" s="650">
        <f t="shared" si="79"/>
        <v>24.41</v>
      </c>
      <c r="AM32" s="601">
        <f t="shared" ref="AM32:AN32" si="80">SUM(AM23:AM31)</f>
        <v>25462568.810000002</v>
      </c>
      <c r="AN32" s="650">
        <f t="shared" si="80"/>
        <v>24.4</v>
      </c>
      <c r="AO32" s="601">
        <f t="shared" ref="AO32:AP32" si="81">SUM(AO23:AO31)</f>
        <v>25893800.079999998</v>
      </c>
      <c r="AP32" s="650">
        <f t="shared" si="81"/>
        <v>24.84</v>
      </c>
      <c r="AQ32" s="601">
        <f t="shared" ref="AQ32:AR32" si="82">SUM(AQ23:AQ31)</f>
        <v>25788247.629999999</v>
      </c>
      <c r="AR32" s="650">
        <f t="shared" si="82"/>
        <v>24.72</v>
      </c>
      <c r="AS32" s="601">
        <f t="shared" ref="AS32:AT32" si="83">SUM(AS23:AS31)</f>
        <v>25885410.060000002</v>
      </c>
      <c r="AT32" s="650">
        <f t="shared" si="83"/>
        <v>24.77</v>
      </c>
      <c r="AU32" s="601">
        <f t="shared" ref="AU32:AV32" si="84">SUM(AU23:AU31)</f>
        <v>25885410.060000002</v>
      </c>
      <c r="AV32" s="650">
        <f t="shared" si="84"/>
        <v>24.740000000000002</v>
      </c>
    </row>
    <row r="33" spans="1:48" ht="16.5" thickBot="1">
      <c r="A33" s="1029" t="s">
        <v>48</v>
      </c>
      <c r="B33" s="1030"/>
      <c r="C33" s="609"/>
      <c r="D33" s="661"/>
      <c r="E33" s="609"/>
      <c r="F33" s="661"/>
      <c r="G33" s="609"/>
      <c r="H33" s="661"/>
      <c r="I33" s="609"/>
      <c r="J33" s="661"/>
      <c r="K33" s="609"/>
      <c r="L33" s="661"/>
      <c r="M33" s="609"/>
      <c r="N33" s="661"/>
      <c r="O33" s="609"/>
      <c r="P33" s="661"/>
      <c r="Q33" s="609"/>
      <c r="R33" s="661"/>
      <c r="S33" s="609"/>
      <c r="T33" s="661"/>
      <c r="U33" s="609"/>
      <c r="V33" s="661"/>
      <c r="W33" s="609"/>
      <c r="X33" s="661"/>
      <c r="Y33" s="609"/>
      <c r="Z33" s="661"/>
      <c r="AA33" s="609"/>
      <c r="AB33" s="661"/>
      <c r="AC33" s="609"/>
      <c r="AD33" s="661"/>
      <c r="AE33" s="609"/>
      <c r="AF33" s="661"/>
      <c r="AG33" s="609"/>
      <c r="AH33" s="661"/>
      <c r="AI33" s="609"/>
      <c r="AJ33" s="661"/>
      <c r="AK33" s="609"/>
      <c r="AL33" s="661"/>
      <c r="AM33" s="609"/>
      <c r="AN33" s="661"/>
      <c r="AO33" s="609"/>
      <c r="AP33" s="661"/>
      <c r="AQ33" s="609"/>
      <c r="AR33" s="661"/>
      <c r="AS33" s="609"/>
      <c r="AT33" s="661"/>
      <c r="AU33" s="609"/>
      <c r="AV33" s="661"/>
    </row>
    <row r="34" spans="1:48" ht="16.5" thickBot="1">
      <c r="A34" s="1031" t="s">
        <v>111</v>
      </c>
      <c r="B34" s="1031"/>
      <c r="C34" s="610"/>
      <c r="D34" s="662"/>
      <c r="E34" s="610"/>
      <c r="F34" s="662"/>
      <c r="G34" s="610"/>
      <c r="H34" s="662"/>
      <c r="I34" s="610"/>
      <c r="J34" s="662"/>
      <c r="K34" s="610"/>
      <c r="L34" s="662"/>
      <c r="M34" s="610"/>
      <c r="N34" s="662"/>
      <c r="O34" s="610"/>
      <c r="P34" s="662"/>
      <c r="Q34" s="610"/>
      <c r="R34" s="662"/>
      <c r="S34" s="610"/>
      <c r="T34" s="662"/>
      <c r="U34" s="610"/>
      <c r="V34" s="662"/>
      <c r="W34" s="610"/>
      <c r="X34" s="662"/>
      <c r="Y34" s="610"/>
      <c r="Z34" s="662"/>
      <c r="AA34" s="610"/>
      <c r="AB34" s="662"/>
      <c r="AC34" s="610"/>
      <c r="AD34" s="662"/>
      <c r="AE34" s="610"/>
      <c r="AF34" s="662"/>
      <c r="AG34" s="610"/>
      <c r="AH34" s="662"/>
      <c r="AI34" s="610"/>
      <c r="AJ34" s="662"/>
      <c r="AK34" s="610"/>
      <c r="AL34" s="662"/>
      <c r="AM34" s="610"/>
      <c r="AN34" s="662"/>
      <c r="AO34" s="610"/>
      <c r="AP34" s="662"/>
      <c r="AQ34" s="610"/>
      <c r="AR34" s="662"/>
      <c r="AS34" s="610"/>
      <c r="AT34" s="662"/>
      <c r="AU34" s="610"/>
      <c r="AV34" s="662"/>
    </row>
    <row r="35" spans="1:48">
      <c r="A35" s="114" t="s">
        <v>67</v>
      </c>
      <c r="B35" s="115" t="s">
        <v>74</v>
      </c>
      <c r="C35" s="611"/>
      <c r="D35" s="663"/>
      <c r="E35" s="611"/>
      <c r="F35" s="663"/>
      <c r="G35" s="611">
        <v>300</v>
      </c>
      <c r="H35" s="663"/>
      <c r="I35" s="611">
        <v>300</v>
      </c>
      <c r="J35" s="663"/>
      <c r="K35" s="611">
        <v>300</v>
      </c>
      <c r="L35" s="663"/>
      <c r="M35" s="611">
        <v>300</v>
      </c>
      <c r="N35" s="663"/>
      <c r="O35" s="611">
        <v>300</v>
      </c>
      <c r="P35" s="663"/>
      <c r="Q35" s="611">
        <v>300</v>
      </c>
      <c r="R35" s="663"/>
      <c r="S35" s="611">
        <v>300</v>
      </c>
      <c r="T35" s="663"/>
      <c r="U35" s="611">
        <v>300</v>
      </c>
      <c r="V35" s="663"/>
      <c r="W35" s="611">
        <v>300</v>
      </c>
      <c r="X35" s="663"/>
      <c r="Y35" s="611">
        <v>300</v>
      </c>
      <c r="Z35" s="663"/>
      <c r="AA35" s="611">
        <v>300</v>
      </c>
      <c r="AB35" s="663"/>
      <c r="AC35" s="611">
        <v>300</v>
      </c>
      <c r="AD35" s="663"/>
      <c r="AE35" s="611">
        <v>300</v>
      </c>
      <c r="AF35" s="663"/>
      <c r="AG35" s="611">
        <v>300</v>
      </c>
      <c r="AH35" s="663"/>
      <c r="AI35" s="611">
        <v>300</v>
      </c>
      <c r="AJ35" s="663"/>
      <c r="AK35" s="611">
        <v>300</v>
      </c>
      <c r="AL35" s="663"/>
      <c r="AM35" s="611">
        <v>300</v>
      </c>
      <c r="AN35" s="663"/>
      <c r="AO35" s="611">
        <v>300</v>
      </c>
      <c r="AP35" s="663"/>
      <c r="AQ35" s="611">
        <v>300</v>
      </c>
      <c r="AR35" s="663"/>
      <c r="AS35" s="611">
        <v>300</v>
      </c>
      <c r="AT35" s="663"/>
      <c r="AU35" s="663"/>
      <c r="AV35" s="663"/>
    </row>
    <row r="36" spans="1:48" ht="48" thickBot="1">
      <c r="A36" s="122" t="s">
        <v>58</v>
      </c>
      <c r="B36" s="123" t="s">
        <v>75</v>
      </c>
      <c r="C36" s="473">
        <v>94727.87</v>
      </c>
      <c r="D36" s="473">
        <v>0.09</v>
      </c>
      <c r="E36" s="473">
        <v>95292.160000000003</v>
      </c>
      <c r="F36" s="473">
        <v>0.09</v>
      </c>
      <c r="G36" s="473">
        <v>96985.02</v>
      </c>
      <c r="H36" s="473">
        <v>0.09</v>
      </c>
      <c r="I36" s="473">
        <v>97549.31</v>
      </c>
      <c r="J36" s="473">
        <v>0.09</v>
      </c>
      <c r="K36" s="473">
        <v>98113.59</v>
      </c>
      <c r="L36" s="473">
        <v>0.09</v>
      </c>
      <c r="M36" s="473">
        <v>98677.88</v>
      </c>
      <c r="N36" s="473">
        <v>0.09</v>
      </c>
      <c r="O36" s="473">
        <v>99242.17</v>
      </c>
      <c r="P36" s="473">
        <v>0.1</v>
      </c>
      <c r="Q36" s="473">
        <v>100935.03</v>
      </c>
      <c r="R36" s="473">
        <v>0.1</v>
      </c>
      <c r="S36" s="473">
        <v>101499.32</v>
      </c>
      <c r="T36" s="473">
        <v>0.1</v>
      </c>
      <c r="U36" s="473">
        <v>102063.61</v>
      </c>
      <c r="V36" s="473">
        <v>0.1</v>
      </c>
      <c r="W36" s="473">
        <v>102627.9</v>
      </c>
      <c r="X36" s="473">
        <v>0.1</v>
      </c>
      <c r="Y36" s="473">
        <v>103192.18</v>
      </c>
      <c r="Z36" s="473">
        <v>0.1</v>
      </c>
      <c r="AA36" s="473">
        <v>104885.05</v>
      </c>
      <c r="AB36" s="473">
        <v>0.1</v>
      </c>
      <c r="AC36" s="473">
        <v>105449.33</v>
      </c>
      <c r="AD36" s="473">
        <v>0.1</v>
      </c>
      <c r="AE36" s="473">
        <v>106013.62</v>
      </c>
      <c r="AF36" s="473">
        <v>0.1</v>
      </c>
      <c r="AG36" s="473">
        <v>106577.91</v>
      </c>
      <c r="AH36" s="473">
        <v>0.1</v>
      </c>
      <c r="AI36" s="473">
        <v>107142.2</v>
      </c>
      <c r="AJ36" s="473">
        <v>0.1</v>
      </c>
      <c r="AK36" s="473">
        <v>108835.06</v>
      </c>
      <c r="AL36" s="473">
        <v>0.1</v>
      </c>
      <c r="AM36" s="473">
        <v>109399.35</v>
      </c>
      <c r="AN36" s="473">
        <v>0.1</v>
      </c>
      <c r="AO36" s="473">
        <v>109963.64</v>
      </c>
      <c r="AP36" s="473">
        <v>0.11</v>
      </c>
      <c r="AQ36" s="473">
        <v>110527.92</v>
      </c>
      <c r="AR36" s="473">
        <v>0.11</v>
      </c>
      <c r="AS36" s="473">
        <v>111092.21</v>
      </c>
      <c r="AT36" s="473">
        <v>0.11</v>
      </c>
      <c r="AU36" s="511">
        <v>111656.5</v>
      </c>
      <c r="AV36" s="473">
        <v>0.11</v>
      </c>
    </row>
    <row r="37" spans="1:48" ht="32.25" thickBot="1">
      <c r="A37" s="122" t="s">
        <v>58</v>
      </c>
      <c r="B37" s="123" t="s">
        <v>131</v>
      </c>
      <c r="C37" s="663"/>
      <c r="D37" s="663"/>
      <c r="E37" s="663"/>
      <c r="F37" s="663"/>
      <c r="G37" s="663"/>
      <c r="H37" s="663"/>
      <c r="I37" s="663"/>
      <c r="J37" s="663"/>
      <c r="K37" s="663"/>
      <c r="L37" s="663"/>
      <c r="M37" s="663"/>
      <c r="N37" s="663"/>
      <c r="O37" s="663"/>
      <c r="P37" s="663"/>
      <c r="Q37" s="663"/>
      <c r="R37" s="663"/>
      <c r="S37" s="663"/>
      <c r="T37" s="663"/>
      <c r="U37" s="663"/>
      <c r="V37" s="663"/>
      <c r="W37" s="663"/>
      <c r="X37" s="663"/>
      <c r="Y37" s="663"/>
      <c r="Z37" s="663"/>
      <c r="AA37" s="663"/>
      <c r="AB37" s="663"/>
      <c r="AC37" s="663"/>
      <c r="AD37" s="663"/>
      <c r="AE37" s="663"/>
      <c r="AF37" s="663"/>
      <c r="AG37" s="663"/>
      <c r="AH37" s="663"/>
      <c r="AI37" s="663"/>
      <c r="AJ37" s="663"/>
      <c r="AK37" s="663"/>
      <c r="AL37" s="663"/>
      <c r="AM37" s="663"/>
      <c r="AN37" s="663"/>
      <c r="AO37" s="663"/>
      <c r="AP37" s="663"/>
      <c r="AQ37" s="663"/>
      <c r="AR37" s="663"/>
      <c r="AS37" s="663"/>
      <c r="AT37" s="663"/>
      <c r="AU37" s="766">
        <v>16.52</v>
      </c>
      <c r="AV37" s="663"/>
    </row>
    <row r="38" spans="1:48" ht="16.5" thickBot="1">
      <c r="A38" s="122" t="s">
        <v>101</v>
      </c>
      <c r="B38" s="123" t="s">
        <v>57</v>
      </c>
      <c r="C38" s="539">
        <v>1479087.59</v>
      </c>
      <c r="D38" s="667">
        <v>1.42</v>
      </c>
      <c r="E38" s="539">
        <v>1475343.07</v>
      </c>
      <c r="F38" s="667">
        <v>1.42</v>
      </c>
      <c r="G38" s="539">
        <v>1464109.49</v>
      </c>
      <c r="H38" s="667">
        <v>1.41</v>
      </c>
      <c r="I38" s="539">
        <v>1460364.96</v>
      </c>
      <c r="J38" s="667">
        <v>1.41</v>
      </c>
      <c r="K38" s="539">
        <v>1456620.44</v>
      </c>
      <c r="L38" s="667">
        <v>1.4</v>
      </c>
      <c r="M38" s="539">
        <v>1452875.91</v>
      </c>
      <c r="N38" s="667">
        <v>1.4</v>
      </c>
      <c r="O38" s="539">
        <v>1449131.39</v>
      </c>
      <c r="P38" s="667">
        <v>1.39</v>
      </c>
      <c r="Q38" s="539">
        <v>1437897.81</v>
      </c>
      <c r="R38" s="667">
        <v>1.38</v>
      </c>
      <c r="S38" s="539">
        <v>1434153.28</v>
      </c>
      <c r="T38" s="667">
        <v>1.38</v>
      </c>
      <c r="U38" s="539">
        <v>1430408.76</v>
      </c>
      <c r="V38" s="667">
        <v>1.38</v>
      </c>
      <c r="W38" s="539">
        <v>1426664.23</v>
      </c>
      <c r="X38" s="667">
        <v>1.37</v>
      </c>
      <c r="Y38" s="539">
        <v>1422919.71</v>
      </c>
      <c r="Z38" s="667">
        <v>1.37</v>
      </c>
      <c r="AA38" s="539">
        <v>1411686.13</v>
      </c>
      <c r="AB38" s="667">
        <v>1.36</v>
      </c>
      <c r="AC38" s="539">
        <v>1407941.61</v>
      </c>
      <c r="AD38" s="667">
        <v>1.35</v>
      </c>
      <c r="AE38" s="539">
        <v>1404197.08</v>
      </c>
      <c r="AF38" s="667">
        <v>1.36</v>
      </c>
      <c r="AG38" s="539">
        <v>1400452.55</v>
      </c>
      <c r="AH38" s="667">
        <v>1.36</v>
      </c>
      <c r="AI38" s="539">
        <v>1396708.03</v>
      </c>
      <c r="AJ38" s="667">
        <v>1.36</v>
      </c>
      <c r="AK38" s="539">
        <v>1385474.45</v>
      </c>
      <c r="AL38" s="667">
        <v>1.33</v>
      </c>
      <c r="AM38" s="539">
        <v>1381729.93</v>
      </c>
      <c r="AN38" s="667">
        <v>1.32</v>
      </c>
      <c r="AO38" s="539">
        <v>1377985.4</v>
      </c>
      <c r="AP38" s="667">
        <v>1.33</v>
      </c>
      <c r="AQ38" s="539">
        <v>1374240.88</v>
      </c>
      <c r="AR38" s="667">
        <v>1.32</v>
      </c>
      <c r="AS38" s="539">
        <v>1370496.35</v>
      </c>
      <c r="AT38" s="667">
        <v>1.31</v>
      </c>
      <c r="AU38" s="515">
        <v>1366751.82</v>
      </c>
      <c r="AV38" s="667">
        <v>1.31</v>
      </c>
    </row>
    <row r="39" spans="1:48" ht="16.5" thickBot="1">
      <c r="A39" s="122" t="s">
        <v>29</v>
      </c>
      <c r="B39" s="123" t="s">
        <v>57</v>
      </c>
      <c r="C39" s="614"/>
      <c r="D39" s="669"/>
      <c r="E39" s="614"/>
      <c r="F39" s="669"/>
      <c r="G39" s="614"/>
      <c r="H39" s="669"/>
      <c r="I39" s="614"/>
      <c r="J39" s="669"/>
      <c r="K39" s="614"/>
      <c r="L39" s="669"/>
      <c r="M39" s="614"/>
      <c r="N39" s="669"/>
      <c r="O39" s="614"/>
      <c r="P39" s="669"/>
      <c r="Q39" s="614"/>
      <c r="R39" s="669"/>
      <c r="S39" s="614"/>
      <c r="T39" s="669"/>
      <c r="U39" s="614"/>
      <c r="V39" s="669"/>
      <c r="W39" s="614"/>
      <c r="X39" s="669"/>
      <c r="Y39" s="614"/>
      <c r="Z39" s="669"/>
      <c r="AA39" s="614"/>
      <c r="AB39" s="669"/>
      <c r="AC39" s="614"/>
      <c r="AD39" s="669"/>
      <c r="AE39" s="614"/>
      <c r="AF39" s="669"/>
      <c r="AG39" s="614"/>
      <c r="AH39" s="669"/>
      <c r="AI39" s="614"/>
      <c r="AJ39" s="669"/>
      <c r="AK39" s="614"/>
      <c r="AL39" s="669"/>
      <c r="AM39" s="614"/>
      <c r="AN39" s="669"/>
      <c r="AO39" s="614"/>
      <c r="AP39" s="669"/>
      <c r="AQ39" s="614"/>
      <c r="AR39" s="669"/>
      <c r="AS39" s="614"/>
      <c r="AT39" s="669"/>
      <c r="AU39" s="614"/>
      <c r="AV39" s="669"/>
    </row>
    <row r="40" spans="1:48">
      <c r="A40" s="122" t="s">
        <v>37</v>
      </c>
      <c r="B40" s="123" t="s">
        <v>57</v>
      </c>
      <c r="C40" s="614"/>
      <c r="D40" s="669"/>
      <c r="E40" s="614"/>
      <c r="F40" s="669"/>
      <c r="G40" s="614"/>
      <c r="H40" s="669"/>
      <c r="I40" s="614"/>
      <c r="J40" s="669"/>
      <c r="K40" s="614"/>
      <c r="L40" s="669"/>
      <c r="M40" s="614"/>
      <c r="N40" s="669"/>
      <c r="O40" s="614"/>
      <c r="P40" s="669"/>
      <c r="Q40" s="614"/>
      <c r="R40" s="669"/>
      <c r="S40" s="614"/>
      <c r="T40" s="669"/>
      <c r="U40" s="614"/>
      <c r="V40" s="669"/>
      <c r="W40" s="614"/>
      <c r="X40" s="669"/>
      <c r="Y40" s="614"/>
      <c r="Z40" s="669"/>
      <c r="AA40" s="614"/>
      <c r="AB40" s="669"/>
      <c r="AC40" s="614"/>
      <c r="AD40" s="669"/>
      <c r="AE40" s="614"/>
      <c r="AF40" s="669"/>
      <c r="AG40" s="614"/>
      <c r="AH40" s="669"/>
      <c r="AI40" s="614"/>
      <c r="AJ40" s="669"/>
      <c r="AK40" s="614"/>
      <c r="AL40" s="669"/>
      <c r="AM40" s="614"/>
      <c r="AN40" s="669"/>
      <c r="AO40" s="614"/>
      <c r="AP40" s="669"/>
      <c r="AQ40" s="614"/>
      <c r="AR40" s="669"/>
      <c r="AS40" s="614"/>
      <c r="AT40" s="669"/>
      <c r="AU40" s="614"/>
      <c r="AV40" s="669"/>
    </row>
    <row r="41" spans="1:48">
      <c r="A41" s="122" t="s">
        <v>68</v>
      </c>
      <c r="B41" s="123" t="s">
        <v>57</v>
      </c>
      <c r="C41" s="750">
        <v>1003705.0299999999</v>
      </c>
      <c r="D41" s="671">
        <v>0.98</v>
      </c>
      <c r="E41" s="750">
        <v>1002121.32</v>
      </c>
      <c r="F41" s="671">
        <v>0.98</v>
      </c>
      <c r="G41" s="750">
        <v>997370.2300000001</v>
      </c>
      <c r="H41" s="671">
        <v>0.96</v>
      </c>
      <c r="I41" s="750">
        <v>995786.53</v>
      </c>
      <c r="J41" s="671">
        <v>0.97</v>
      </c>
      <c r="K41" s="750">
        <v>994202.83000000007</v>
      </c>
      <c r="L41" s="671">
        <v>0.98</v>
      </c>
      <c r="M41" s="750">
        <v>992619.11</v>
      </c>
      <c r="N41" s="671">
        <v>0.97</v>
      </c>
      <c r="O41" s="750">
        <v>991035.40000000014</v>
      </c>
      <c r="P41" s="671">
        <v>0.97</v>
      </c>
      <c r="Q41" s="750">
        <v>986284.29999999981</v>
      </c>
      <c r="R41" s="671">
        <v>0.95</v>
      </c>
      <c r="S41" s="750">
        <v>984700.6</v>
      </c>
      <c r="T41" s="671">
        <v>0.95</v>
      </c>
      <c r="U41" s="750">
        <v>983116.91999999993</v>
      </c>
      <c r="V41" s="671">
        <v>0.95</v>
      </c>
      <c r="W41" s="750">
        <v>981533.2</v>
      </c>
      <c r="X41" s="671">
        <v>0.94</v>
      </c>
      <c r="Y41" s="750">
        <v>979949.5</v>
      </c>
      <c r="Z41" s="671">
        <v>0.94</v>
      </c>
      <c r="AA41" s="750">
        <v>975198.38</v>
      </c>
      <c r="AB41" s="671">
        <v>0.93</v>
      </c>
      <c r="AC41" s="750">
        <v>973614.69</v>
      </c>
      <c r="AD41" s="671">
        <v>0.94</v>
      </c>
      <c r="AE41" s="750">
        <v>972031.00000000012</v>
      </c>
      <c r="AF41" s="671">
        <v>0.94</v>
      </c>
      <c r="AG41" s="750">
        <v>970447.29</v>
      </c>
      <c r="AH41" s="671">
        <v>0.94</v>
      </c>
      <c r="AI41" s="750">
        <v>968863.58000000007</v>
      </c>
      <c r="AJ41" s="671">
        <v>0.94</v>
      </c>
      <c r="AK41" s="750">
        <v>964112.4800000001</v>
      </c>
      <c r="AL41" s="671">
        <v>0.93</v>
      </c>
      <c r="AM41" s="750">
        <v>962528.78</v>
      </c>
      <c r="AN41" s="671">
        <v>0.93</v>
      </c>
      <c r="AO41" s="750">
        <v>960945.09000000008</v>
      </c>
      <c r="AP41" s="671">
        <v>0.92</v>
      </c>
      <c r="AQ41" s="750">
        <v>959361.36999999988</v>
      </c>
      <c r="AR41" s="671">
        <v>0.91</v>
      </c>
      <c r="AS41" s="750">
        <v>957777.65999999992</v>
      </c>
      <c r="AT41" s="671">
        <v>0.92</v>
      </c>
      <c r="AU41" s="770">
        <v>956193.97</v>
      </c>
      <c r="AV41" s="492">
        <v>0.92</v>
      </c>
    </row>
    <row r="42" spans="1:48">
      <c r="A42" s="129" t="s">
        <v>69</v>
      </c>
      <c r="B42" s="123" t="s">
        <v>57</v>
      </c>
      <c r="C42" s="616"/>
      <c r="D42" s="673"/>
      <c r="E42" s="616"/>
      <c r="F42" s="673"/>
      <c r="G42" s="616"/>
      <c r="H42" s="673"/>
      <c r="I42" s="616"/>
      <c r="J42" s="673"/>
      <c r="K42" s="616"/>
      <c r="L42" s="673"/>
      <c r="M42" s="616"/>
      <c r="N42" s="673"/>
      <c r="O42" s="616"/>
      <c r="P42" s="673"/>
      <c r="Q42" s="616"/>
      <c r="R42" s="673"/>
      <c r="S42" s="616"/>
      <c r="T42" s="673"/>
      <c r="U42" s="616"/>
      <c r="V42" s="673"/>
      <c r="W42" s="616"/>
      <c r="X42" s="673"/>
      <c r="Y42" s="616"/>
      <c r="Z42" s="673"/>
      <c r="AA42" s="616"/>
      <c r="AB42" s="673"/>
      <c r="AC42" s="616"/>
      <c r="AD42" s="673"/>
      <c r="AE42" s="616"/>
      <c r="AF42" s="673"/>
      <c r="AG42" s="616"/>
      <c r="AH42" s="673"/>
      <c r="AI42" s="616"/>
      <c r="AJ42" s="673"/>
      <c r="AK42" s="616"/>
      <c r="AL42" s="673"/>
      <c r="AM42" s="616"/>
      <c r="AN42" s="673"/>
      <c r="AO42" s="616"/>
      <c r="AP42" s="673"/>
      <c r="AQ42" s="616"/>
      <c r="AR42" s="673"/>
      <c r="AS42" s="616"/>
      <c r="AT42" s="673"/>
      <c r="AU42" s="616"/>
      <c r="AV42" s="673"/>
    </row>
    <row r="43" spans="1:48" ht="48" thickBot="1">
      <c r="A43" s="122" t="s">
        <v>70</v>
      </c>
      <c r="B43" s="123" t="s">
        <v>76</v>
      </c>
      <c r="C43" s="617">
        <v>2009900</v>
      </c>
      <c r="D43" s="665">
        <v>1.93</v>
      </c>
      <c r="E43" s="617">
        <v>2009900</v>
      </c>
      <c r="F43" s="665">
        <v>1.93</v>
      </c>
      <c r="G43" s="617">
        <v>2009900</v>
      </c>
      <c r="H43" s="665">
        <v>1.92</v>
      </c>
      <c r="I43" s="617">
        <v>2009900</v>
      </c>
      <c r="J43" s="665">
        <v>1.93</v>
      </c>
      <c r="K43" s="617">
        <v>2009900</v>
      </c>
      <c r="L43" s="665">
        <v>1.93</v>
      </c>
      <c r="M43" s="617">
        <v>2009900</v>
      </c>
      <c r="N43" s="665">
        <v>1.93</v>
      </c>
      <c r="O43" s="617">
        <v>2009900</v>
      </c>
      <c r="P43" s="665">
        <v>1.93</v>
      </c>
      <c r="Q43" s="617">
        <v>2009900</v>
      </c>
      <c r="R43" s="665">
        <v>1.92</v>
      </c>
      <c r="S43" s="617">
        <v>2009900</v>
      </c>
      <c r="T43" s="665">
        <v>1.92</v>
      </c>
      <c r="U43" s="617">
        <v>2009900</v>
      </c>
      <c r="V43" s="665">
        <v>1.94</v>
      </c>
      <c r="W43" s="617">
        <v>2009900</v>
      </c>
      <c r="X43" s="665">
        <v>1.94</v>
      </c>
      <c r="Y43" s="617">
        <v>2009900</v>
      </c>
      <c r="Z43" s="665">
        <v>1.94</v>
      </c>
      <c r="AA43" s="617">
        <v>2009900</v>
      </c>
      <c r="AB43" s="665">
        <v>1.93</v>
      </c>
      <c r="AC43" s="617">
        <v>2009900</v>
      </c>
      <c r="AD43" s="665">
        <v>1.93</v>
      </c>
      <c r="AE43" s="617">
        <v>2009900</v>
      </c>
      <c r="AF43" s="665">
        <v>1.93</v>
      </c>
      <c r="AG43" s="617">
        <v>2009900</v>
      </c>
      <c r="AH43" s="665">
        <v>1.92</v>
      </c>
      <c r="AI43" s="617">
        <v>2009900</v>
      </c>
      <c r="AJ43" s="665">
        <v>1.92</v>
      </c>
      <c r="AK43" s="617">
        <v>2009900</v>
      </c>
      <c r="AL43" s="665">
        <v>1.93</v>
      </c>
      <c r="AM43" s="617">
        <v>2009900</v>
      </c>
      <c r="AN43" s="665">
        <v>1.93</v>
      </c>
      <c r="AO43" s="617">
        <v>2009900</v>
      </c>
      <c r="AP43" s="665">
        <v>1.93</v>
      </c>
      <c r="AQ43" s="617">
        <v>2009900</v>
      </c>
      <c r="AR43" s="665">
        <v>1.93</v>
      </c>
      <c r="AS43" s="617">
        <v>2009900</v>
      </c>
      <c r="AT43" s="665">
        <v>1.93</v>
      </c>
      <c r="AU43" s="617">
        <v>2009900</v>
      </c>
      <c r="AV43" s="665">
        <v>1.93</v>
      </c>
    </row>
    <row r="44" spans="1:48" ht="15">
      <c r="A44" s="696" t="s">
        <v>105</v>
      </c>
      <c r="B44" s="696" t="s">
        <v>105</v>
      </c>
      <c r="C44" s="621"/>
      <c r="D44" s="667"/>
      <c r="E44" s="621"/>
      <c r="F44" s="667"/>
      <c r="G44" s="621"/>
      <c r="H44" s="667"/>
      <c r="I44" s="621"/>
      <c r="J44" s="667"/>
      <c r="K44" s="621"/>
      <c r="L44" s="667"/>
      <c r="M44" s="621"/>
      <c r="N44" s="667"/>
      <c r="O44" s="621"/>
      <c r="P44" s="667"/>
      <c r="Q44" s="621"/>
      <c r="R44" s="667"/>
      <c r="S44" s="621"/>
      <c r="T44" s="667"/>
      <c r="U44" s="621"/>
      <c r="V44" s="667"/>
      <c r="W44" s="621"/>
      <c r="X44" s="667"/>
      <c r="Y44" s="621"/>
      <c r="Z44" s="667"/>
      <c r="AA44" s="621"/>
      <c r="AB44" s="667"/>
      <c r="AC44" s="621"/>
      <c r="AD44" s="667"/>
      <c r="AE44" s="621"/>
      <c r="AF44" s="667"/>
      <c r="AG44" s="621"/>
      <c r="AH44" s="667"/>
      <c r="AI44" s="621"/>
      <c r="AJ44" s="667"/>
      <c r="AK44" s="621"/>
      <c r="AL44" s="667"/>
      <c r="AM44" s="621"/>
      <c r="AN44" s="667"/>
      <c r="AO44" s="621"/>
      <c r="AP44" s="667"/>
      <c r="AQ44" s="621"/>
      <c r="AR44" s="667"/>
      <c r="AS44" s="621"/>
      <c r="AT44" s="667"/>
      <c r="AU44" s="621"/>
      <c r="AV44" s="667"/>
    </row>
    <row r="45" spans="1:48">
      <c r="A45" s="122" t="s">
        <v>49</v>
      </c>
      <c r="B45" s="123" t="s">
        <v>50</v>
      </c>
      <c r="C45" s="618">
        <v>20171.439999999999</v>
      </c>
      <c r="D45" s="665">
        <v>0.02</v>
      </c>
      <c r="E45" s="618">
        <v>20171.439999999999</v>
      </c>
      <c r="F45" s="665">
        <v>0.02</v>
      </c>
      <c r="G45" s="618">
        <v>20171.439999999999</v>
      </c>
      <c r="H45" s="665">
        <v>0.02</v>
      </c>
      <c r="I45" s="592">
        <v>20316.349999999999</v>
      </c>
      <c r="J45" s="665">
        <v>0.02</v>
      </c>
      <c r="K45" s="712">
        <v>21003.15</v>
      </c>
      <c r="L45" s="665">
        <v>0.02</v>
      </c>
      <c r="M45" s="712">
        <v>21932.48</v>
      </c>
      <c r="N45" s="665">
        <v>0.02</v>
      </c>
      <c r="O45" s="712">
        <v>21932.48</v>
      </c>
      <c r="P45" s="665">
        <v>0.02</v>
      </c>
      <c r="Q45" s="712">
        <v>21932.48</v>
      </c>
      <c r="R45" s="665">
        <v>0.02</v>
      </c>
      <c r="S45" s="712">
        <v>21932.48</v>
      </c>
      <c r="T45" s="665">
        <v>0.02</v>
      </c>
      <c r="U45" s="712">
        <v>13820.88</v>
      </c>
      <c r="V45" s="665">
        <v>0.01</v>
      </c>
      <c r="W45" s="712">
        <v>13820.88</v>
      </c>
      <c r="X45" s="665">
        <v>0.01</v>
      </c>
      <c r="Y45" s="712">
        <v>13820.88</v>
      </c>
      <c r="Z45" s="665">
        <v>0.01</v>
      </c>
      <c r="AA45" s="712">
        <v>13820.88</v>
      </c>
      <c r="AB45" s="665">
        <v>0.01</v>
      </c>
      <c r="AC45" s="712">
        <v>13820.88</v>
      </c>
      <c r="AD45" s="665">
        <v>0.01</v>
      </c>
      <c r="AE45" s="712">
        <v>13820.88</v>
      </c>
      <c r="AF45" s="665">
        <v>0.01</v>
      </c>
      <c r="AG45" s="712">
        <v>13820.88</v>
      </c>
      <c r="AH45" s="665">
        <v>0.01</v>
      </c>
      <c r="AI45" s="712">
        <v>13820.88</v>
      </c>
      <c r="AJ45" s="665">
        <v>0.01</v>
      </c>
      <c r="AK45" s="712">
        <v>13820.88</v>
      </c>
      <c r="AL45" s="665">
        <v>0.01</v>
      </c>
      <c r="AM45" s="712">
        <v>19462.88</v>
      </c>
      <c r="AN45" s="665">
        <v>0.02</v>
      </c>
      <c r="AO45" s="712">
        <v>19462.88</v>
      </c>
      <c r="AP45" s="665">
        <v>0.02</v>
      </c>
      <c r="AQ45" s="712">
        <v>19462.88</v>
      </c>
      <c r="AR45" s="665">
        <v>0.02</v>
      </c>
      <c r="AS45" s="712">
        <v>19462.88</v>
      </c>
      <c r="AT45" s="665">
        <v>0.02</v>
      </c>
      <c r="AU45" s="767">
        <v>10166.84</v>
      </c>
      <c r="AV45" s="665">
        <v>0.01</v>
      </c>
    </row>
    <row r="46" spans="1:48" ht="48" thickBot="1">
      <c r="A46" s="122" t="s">
        <v>56</v>
      </c>
      <c r="B46" s="123" t="s">
        <v>77</v>
      </c>
      <c r="C46" s="616"/>
      <c r="D46" s="673"/>
      <c r="E46" s="616"/>
      <c r="F46" s="673"/>
      <c r="G46" s="616"/>
      <c r="H46" s="673"/>
      <c r="I46" s="616"/>
      <c r="J46" s="673"/>
      <c r="K46" s="616"/>
      <c r="L46" s="673"/>
      <c r="M46" s="616"/>
      <c r="N46" s="673"/>
      <c r="O46" s="616"/>
      <c r="P46" s="673"/>
      <c r="Q46" s="616"/>
      <c r="R46" s="673"/>
      <c r="S46" s="616"/>
      <c r="T46" s="673"/>
      <c r="U46" s="760">
        <v>2017.38</v>
      </c>
      <c r="V46" s="673"/>
      <c r="W46" s="760">
        <v>2017.38</v>
      </c>
      <c r="X46" s="673"/>
      <c r="Y46" s="760">
        <v>2017.38</v>
      </c>
      <c r="Z46" s="673"/>
      <c r="AA46" s="760">
        <v>2017.38</v>
      </c>
      <c r="AB46" s="673"/>
      <c r="AC46" s="760">
        <v>2017.38</v>
      </c>
      <c r="AD46" s="673"/>
      <c r="AE46" s="760">
        <v>2017.38</v>
      </c>
      <c r="AF46" s="673"/>
      <c r="AG46" s="760">
        <v>2017.38</v>
      </c>
      <c r="AH46" s="673"/>
      <c r="AI46" s="760">
        <v>2017.38</v>
      </c>
      <c r="AJ46" s="673"/>
      <c r="AK46" s="760">
        <v>2017.38</v>
      </c>
      <c r="AL46" s="673"/>
      <c r="AM46" s="760">
        <v>2017.38</v>
      </c>
      <c r="AN46" s="673"/>
      <c r="AO46" s="760">
        <v>2017.38</v>
      </c>
      <c r="AP46" s="673"/>
      <c r="AQ46" s="760">
        <v>2017.38</v>
      </c>
      <c r="AR46" s="673"/>
      <c r="AS46" s="760">
        <v>2017.38</v>
      </c>
      <c r="AT46" s="673"/>
      <c r="AU46" s="673"/>
      <c r="AV46" s="673"/>
    </row>
    <row r="47" spans="1:48" ht="79.5" thickBot="1">
      <c r="A47" s="132" t="s">
        <v>72</v>
      </c>
      <c r="B47" s="123" t="s">
        <v>78</v>
      </c>
      <c r="C47" s="619">
        <v>3092.7</v>
      </c>
      <c r="D47" s="667">
        <v>0.01</v>
      </c>
      <c r="E47" s="619">
        <v>3092.7</v>
      </c>
      <c r="F47" s="667">
        <v>0.01</v>
      </c>
      <c r="G47" s="619">
        <v>3092.7</v>
      </c>
      <c r="H47" s="667">
        <v>0.01</v>
      </c>
      <c r="I47" s="759">
        <v>3962.13</v>
      </c>
      <c r="J47" s="667">
        <v>0.01</v>
      </c>
      <c r="K47" s="759">
        <v>3962.13</v>
      </c>
      <c r="L47" s="667">
        <v>0.01</v>
      </c>
      <c r="M47" s="759">
        <v>3962.13</v>
      </c>
      <c r="N47" s="667">
        <v>0.01</v>
      </c>
      <c r="O47" s="759">
        <v>3962.13</v>
      </c>
      <c r="P47" s="667">
        <v>0.01</v>
      </c>
      <c r="Q47" s="759">
        <v>3962.13</v>
      </c>
      <c r="R47" s="667">
        <v>0.01</v>
      </c>
      <c r="S47" s="759">
        <v>3962.13</v>
      </c>
      <c r="T47" s="667">
        <v>0.01</v>
      </c>
      <c r="U47" s="759">
        <v>3962.13</v>
      </c>
      <c r="V47" s="667">
        <v>0.01</v>
      </c>
      <c r="W47" s="759">
        <v>3962.13</v>
      </c>
      <c r="X47" s="667">
        <v>0.01</v>
      </c>
      <c r="Y47" s="759">
        <v>3962.13</v>
      </c>
      <c r="Z47" s="667">
        <v>0.01</v>
      </c>
      <c r="AA47" s="759">
        <v>3962.13</v>
      </c>
      <c r="AB47" s="667">
        <v>0</v>
      </c>
      <c r="AC47" s="759">
        <v>3962.13</v>
      </c>
      <c r="AD47" s="667">
        <v>0</v>
      </c>
      <c r="AE47" s="759">
        <v>3962.13</v>
      </c>
      <c r="AF47" s="667">
        <v>0</v>
      </c>
      <c r="AG47" s="759">
        <v>3962.13</v>
      </c>
      <c r="AH47" s="667">
        <v>0</v>
      </c>
      <c r="AI47" s="759">
        <v>3962.13</v>
      </c>
      <c r="AJ47" s="667">
        <v>0</v>
      </c>
      <c r="AK47" s="759">
        <v>3962.13</v>
      </c>
      <c r="AL47" s="667">
        <v>0</v>
      </c>
      <c r="AM47" s="759">
        <v>3962.13</v>
      </c>
      <c r="AN47" s="667">
        <v>0</v>
      </c>
      <c r="AO47" s="759">
        <v>3962.13</v>
      </c>
      <c r="AP47" s="667">
        <v>0</v>
      </c>
      <c r="AQ47" s="759">
        <v>3962.13</v>
      </c>
      <c r="AR47" s="667">
        <v>0</v>
      </c>
      <c r="AS47" s="759">
        <v>3962.13</v>
      </c>
      <c r="AT47" s="667">
        <v>0</v>
      </c>
      <c r="AU47" s="511">
        <v>2141.2800000000002</v>
      </c>
      <c r="AV47" s="667">
        <v>0</v>
      </c>
    </row>
    <row r="48" spans="1:48" ht="32.25" thickBot="1">
      <c r="A48" s="132" t="s">
        <v>51</v>
      </c>
      <c r="B48" s="123" t="s">
        <v>52</v>
      </c>
      <c r="C48" s="751">
        <v>27368.26</v>
      </c>
      <c r="D48" s="667">
        <v>0.03</v>
      </c>
      <c r="E48" s="751">
        <v>27368.26</v>
      </c>
      <c r="F48" s="667">
        <v>0.03</v>
      </c>
      <c r="G48" s="751">
        <v>27368.26</v>
      </c>
      <c r="H48" s="667">
        <v>0.03</v>
      </c>
      <c r="I48" s="751">
        <v>27368.26</v>
      </c>
      <c r="J48" s="667">
        <v>0.03</v>
      </c>
      <c r="K48" s="751">
        <v>27368.26</v>
      </c>
      <c r="L48" s="667">
        <v>0.03</v>
      </c>
      <c r="M48" s="751">
        <v>27368.26</v>
      </c>
      <c r="N48" s="667">
        <v>0.03</v>
      </c>
      <c r="O48" s="751">
        <v>27368.26</v>
      </c>
      <c r="P48" s="667">
        <v>0.03</v>
      </c>
      <c r="Q48" s="751">
        <v>27368.26</v>
      </c>
      <c r="R48" s="667">
        <v>0.03</v>
      </c>
      <c r="S48" s="751">
        <v>27368.26</v>
      </c>
      <c r="T48" s="667">
        <v>0.03</v>
      </c>
      <c r="U48" s="751">
        <v>27368.26</v>
      </c>
      <c r="V48" s="667">
        <v>0.03</v>
      </c>
      <c r="W48" s="751">
        <v>27368.26</v>
      </c>
      <c r="X48" s="667">
        <v>0.03</v>
      </c>
      <c r="Y48" s="751">
        <v>27368.26</v>
      </c>
      <c r="Z48" s="667">
        <v>0.03</v>
      </c>
      <c r="AA48" s="620"/>
      <c r="AB48" s="669"/>
      <c r="AC48" s="620"/>
      <c r="AD48" s="669"/>
      <c r="AE48" s="620"/>
      <c r="AF48" s="669"/>
      <c r="AG48" s="620"/>
      <c r="AH48" s="669"/>
      <c r="AI48" s="620"/>
      <c r="AJ48" s="669"/>
      <c r="AK48" s="620"/>
      <c r="AL48" s="669"/>
      <c r="AM48" s="620"/>
      <c r="AN48" s="669"/>
      <c r="AO48" s="620"/>
      <c r="AP48" s="669"/>
      <c r="AQ48" s="620"/>
      <c r="AR48" s="669"/>
      <c r="AS48" s="620"/>
      <c r="AT48" s="669"/>
      <c r="AU48" s="768">
        <v>19526.05</v>
      </c>
      <c r="AV48" s="667">
        <v>0.02</v>
      </c>
    </row>
    <row r="49" spans="1:48" thickBot="1">
      <c r="A49" s="1049" t="s">
        <v>127</v>
      </c>
      <c r="B49" s="1050"/>
      <c r="C49" s="751">
        <v>34148.89</v>
      </c>
      <c r="D49" s="667">
        <v>0.03</v>
      </c>
      <c r="E49" s="751">
        <v>34148.89</v>
      </c>
      <c r="F49" s="667">
        <v>0.03</v>
      </c>
      <c r="G49" s="751">
        <v>34148.89</v>
      </c>
      <c r="H49" s="667">
        <v>0.03</v>
      </c>
      <c r="I49" s="751">
        <v>34148.89</v>
      </c>
      <c r="J49" s="667">
        <v>0.03</v>
      </c>
      <c r="K49" s="751">
        <v>34148.89</v>
      </c>
      <c r="L49" s="667">
        <v>0.03</v>
      </c>
      <c r="M49" s="751">
        <v>34148.89</v>
      </c>
      <c r="N49" s="667">
        <v>0.03</v>
      </c>
      <c r="O49" s="751">
        <v>34148.89</v>
      </c>
      <c r="P49" s="667">
        <v>0.03</v>
      </c>
      <c r="Q49" s="751">
        <v>34148.89</v>
      </c>
      <c r="R49" s="667">
        <v>0.03</v>
      </c>
      <c r="S49" s="751">
        <v>34148.89</v>
      </c>
      <c r="T49" s="667">
        <v>0.03</v>
      </c>
      <c r="U49" s="751">
        <v>34148.89</v>
      </c>
      <c r="V49" s="667">
        <v>0.03</v>
      </c>
      <c r="W49" s="751">
        <v>34148.89</v>
      </c>
      <c r="X49" s="667">
        <v>0.03</v>
      </c>
      <c r="Y49" s="751">
        <v>34148.89</v>
      </c>
      <c r="Z49" s="667">
        <v>0.03</v>
      </c>
      <c r="AA49" s="751">
        <v>34148.89</v>
      </c>
      <c r="AB49" s="667">
        <v>0.03</v>
      </c>
      <c r="AC49" s="751">
        <v>34148.89</v>
      </c>
      <c r="AD49" s="667">
        <v>0.03</v>
      </c>
      <c r="AE49" s="751">
        <v>34148.89</v>
      </c>
      <c r="AF49" s="667">
        <v>0.03</v>
      </c>
      <c r="AG49" s="751">
        <v>34148.89</v>
      </c>
      <c r="AH49" s="667">
        <v>0.03</v>
      </c>
      <c r="AI49" s="751">
        <v>34148.89</v>
      </c>
      <c r="AJ49" s="667">
        <v>0.03</v>
      </c>
      <c r="AK49" s="751">
        <v>34148.89</v>
      </c>
      <c r="AL49" s="667">
        <v>0.03</v>
      </c>
      <c r="AM49" s="751">
        <v>34148.89</v>
      </c>
      <c r="AN49" s="667">
        <v>0.03</v>
      </c>
      <c r="AO49" s="751">
        <v>34148.89</v>
      </c>
      <c r="AP49" s="667">
        <v>0.03</v>
      </c>
      <c r="AQ49" s="751">
        <v>34148.89</v>
      </c>
      <c r="AR49" s="667">
        <v>0.03</v>
      </c>
      <c r="AS49" s="620"/>
      <c r="AT49" s="669"/>
      <c r="AU49" s="768">
        <v>23641.269999999997</v>
      </c>
      <c r="AV49" s="667">
        <v>0.02</v>
      </c>
    </row>
    <row r="50" spans="1:48" ht="32.25" thickBot="1">
      <c r="A50" s="133" t="s">
        <v>73</v>
      </c>
      <c r="B50" s="134" t="s">
        <v>53</v>
      </c>
      <c r="C50" s="751">
        <v>62527.729999999996</v>
      </c>
      <c r="D50" s="667">
        <v>0.06</v>
      </c>
      <c r="E50" s="751">
        <v>62527.729999999996</v>
      </c>
      <c r="F50" s="667">
        <v>0.06</v>
      </c>
      <c r="G50" s="751">
        <v>62527.729999999996</v>
      </c>
      <c r="H50" s="667">
        <v>0.06</v>
      </c>
      <c r="I50" s="751">
        <v>62527.729999999996</v>
      </c>
      <c r="J50" s="667">
        <v>0.06</v>
      </c>
      <c r="K50" s="751">
        <v>62527.729999999996</v>
      </c>
      <c r="L50" s="667">
        <v>0.06</v>
      </c>
      <c r="M50" s="751">
        <v>62527.729999999996</v>
      </c>
      <c r="N50" s="667">
        <v>0.06</v>
      </c>
      <c r="O50" s="751">
        <v>62527.729999999996</v>
      </c>
      <c r="P50" s="667">
        <v>0.06</v>
      </c>
      <c r="Q50" s="751">
        <v>62527.729999999996</v>
      </c>
      <c r="R50" s="667">
        <v>0.06</v>
      </c>
      <c r="S50" s="751">
        <v>62527.729999999996</v>
      </c>
      <c r="T50" s="667">
        <v>0.06</v>
      </c>
      <c r="U50" s="751">
        <v>62527.729999999996</v>
      </c>
      <c r="V50" s="667">
        <v>0.06</v>
      </c>
      <c r="W50" s="751">
        <v>62527.729999999996</v>
      </c>
      <c r="X50" s="667">
        <v>0.06</v>
      </c>
      <c r="Y50" s="751">
        <v>62527.729999999996</v>
      </c>
      <c r="Z50" s="667">
        <v>0.06</v>
      </c>
      <c r="AA50" s="751">
        <v>62527.729999999996</v>
      </c>
      <c r="AB50" s="667">
        <v>0.06</v>
      </c>
      <c r="AC50" s="751">
        <v>62527.729999999996</v>
      </c>
      <c r="AD50" s="667">
        <v>0.06</v>
      </c>
      <c r="AE50" s="751">
        <v>62527.729999999996</v>
      </c>
      <c r="AF50" s="667">
        <v>0.06</v>
      </c>
      <c r="AG50" s="751">
        <v>62527.729999999996</v>
      </c>
      <c r="AH50" s="667">
        <v>0.06</v>
      </c>
      <c r="AI50" s="751">
        <v>62527.729999999996</v>
      </c>
      <c r="AJ50" s="667">
        <v>0.06</v>
      </c>
      <c r="AK50" s="751">
        <v>62527.729999999996</v>
      </c>
      <c r="AL50" s="667">
        <v>0.06</v>
      </c>
      <c r="AM50" s="751">
        <v>62527.729999999996</v>
      </c>
      <c r="AN50" s="667">
        <v>0.06</v>
      </c>
      <c r="AO50" s="751">
        <v>62527.729999999996</v>
      </c>
      <c r="AP50" s="667">
        <v>0.06</v>
      </c>
      <c r="AQ50" s="751">
        <v>62527.729999999996</v>
      </c>
      <c r="AR50" s="667">
        <v>0.06</v>
      </c>
      <c r="AS50" s="620"/>
      <c r="AT50" s="669"/>
      <c r="AU50" s="768">
        <v>43289.38</v>
      </c>
      <c r="AV50" s="667">
        <v>0.04</v>
      </c>
    </row>
    <row r="51" spans="1:48" ht="32.25" thickBot="1">
      <c r="A51" s="122" t="s">
        <v>54</v>
      </c>
      <c r="B51" s="123" t="s">
        <v>79</v>
      </c>
      <c r="C51" s="612">
        <v>3944.58</v>
      </c>
      <c r="D51" s="743"/>
      <c r="E51" s="612">
        <v>3944.58</v>
      </c>
      <c r="F51" s="743"/>
      <c r="G51" s="612">
        <v>3944.58</v>
      </c>
      <c r="H51" s="743"/>
      <c r="I51" s="612">
        <v>3944.58</v>
      </c>
      <c r="J51" s="743"/>
      <c r="K51" s="612">
        <v>3944.58</v>
      </c>
      <c r="L51" s="743"/>
      <c r="M51" s="620"/>
      <c r="N51" s="669"/>
      <c r="O51" s="620"/>
      <c r="P51" s="669"/>
      <c r="Q51" s="620"/>
      <c r="R51" s="669"/>
      <c r="S51" s="620"/>
      <c r="T51" s="669"/>
      <c r="U51" s="620"/>
      <c r="V51" s="669"/>
      <c r="W51" s="620"/>
      <c r="X51" s="669"/>
      <c r="Y51" s="620"/>
      <c r="Z51" s="669"/>
      <c r="AA51" s="620"/>
      <c r="AB51" s="669"/>
      <c r="AC51" s="620"/>
      <c r="AD51" s="669"/>
      <c r="AE51" s="620"/>
      <c r="AF51" s="669"/>
      <c r="AG51" s="620"/>
      <c r="AH51" s="669"/>
      <c r="AI51" s="620"/>
      <c r="AJ51" s="669"/>
      <c r="AK51" s="620"/>
      <c r="AL51" s="669"/>
      <c r="AM51" s="620"/>
      <c r="AN51" s="669"/>
      <c r="AO51" s="620"/>
      <c r="AP51" s="669"/>
      <c r="AQ51" s="620"/>
      <c r="AR51" s="669"/>
      <c r="AS51" s="620"/>
      <c r="AT51" s="669"/>
      <c r="AU51" s="769">
        <v>2110.29</v>
      </c>
      <c r="AV51" s="667"/>
    </row>
    <row r="52" spans="1:48" ht="32.25" thickBot="1">
      <c r="A52" s="135" t="s">
        <v>55</v>
      </c>
      <c r="B52" s="223" t="s">
        <v>80</v>
      </c>
      <c r="C52" s="612">
        <v>2167.0700000000002</v>
      </c>
      <c r="D52" s="743"/>
      <c r="E52" s="612">
        <v>2167.0700000000002</v>
      </c>
      <c r="F52" s="743"/>
      <c r="G52" s="612">
        <v>2167.0700000000002</v>
      </c>
      <c r="H52" s="743"/>
      <c r="I52" s="612">
        <v>2167.0700000000002</v>
      </c>
      <c r="J52" s="743"/>
      <c r="K52" s="620"/>
      <c r="L52" s="669"/>
      <c r="M52" s="620"/>
      <c r="N52" s="669"/>
      <c r="O52" s="620"/>
      <c r="P52" s="669"/>
      <c r="Q52" s="620"/>
      <c r="R52" s="669"/>
      <c r="S52" s="620"/>
      <c r="T52" s="669"/>
      <c r="U52" s="620"/>
      <c r="V52" s="669"/>
      <c r="W52" s="620"/>
      <c r="X52" s="669"/>
      <c r="Y52" s="620"/>
      <c r="Z52" s="669"/>
      <c r="AA52" s="620"/>
      <c r="AB52" s="669"/>
      <c r="AC52" s="620"/>
      <c r="AD52" s="669"/>
      <c r="AE52" s="620"/>
      <c r="AF52" s="669"/>
      <c r="AG52" s="620"/>
      <c r="AH52" s="669"/>
      <c r="AI52" s="620"/>
      <c r="AJ52" s="669"/>
      <c r="AK52" s="620"/>
      <c r="AL52" s="669"/>
      <c r="AM52" s="620"/>
      <c r="AN52" s="669"/>
      <c r="AO52" s="620"/>
      <c r="AP52" s="669"/>
      <c r="AQ52" s="620"/>
      <c r="AR52" s="669"/>
      <c r="AS52" s="620"/>
      <c r="AT52" s="669"/>
      <c r="AU52" s="769">
        <v>860.78</v>
      </c>
      <c r="AV52" s="667"/>
    </row>
    <row r="53" spans="1:48" ht="16.5" thickBot="1">
      <c r="A53" s="221" t="s">
        <v>99</v>
      </c>
      <c r="B53" s="222"/>
      <c r="C53" s="620"/>
      <c r="D53" s="669"/>
      <c r="E53" s="620"/>
      <c r="F53" s="669"/>
      <c r="G53" s="620"/>
      <c r="H53" s="669"/>
      <c r="I53" s="620"/>
      <c r="J53" s="669"/>
      <c r="K53" s="620"/>
      <c r="L53" s="669"/>
      <c r="M53" s="620"/>
      <c r="N53" s="669"/>
      <c r="O53" s="620"/>
      <c r="P53" s="669"/>
      <c r="Q53" s="620"/>
      <c r="R53" s="669"/>
      <c r="S53" s="620"/>
      <c r="T53" s="669"/>
      <c r="U53" s="620"/>
      <c r="V53" s="669"/>
      <c r="W53" s="620"/>
      <c r="X53" s="669"/>
      <c r="Y53" s="620"/>
      <c r="Z53" s="669"/>
      <c r="AA53" s="620"/>
      <c r="AB53" s="669"/>
      <c r="AC53" s="761">
        <v>122802.9</v>
      </c>
      <c r="AD53" s="669">
        <v>0.12</v>
      </c>
      <c r="AE53" s="761">
        <v>122802.9</v>
      </c>
      <c r="AF53" s="669">
        <v>0.12</v>
      </c>
      <c r="AG53" s="761">
        <v>122802.9</v>
      </c>
      <c r="AH53" s="669">
        <v>0.12</v>
      </c>
      <c r="AI53" s="620"/>
      <c r="AJ53" s="669"/>
      <c r="AK53" s="620"/>
      <c r="AL53" s="669"/>
      <c r="AM53" s="620"/>
      <c r="AN53" s="669"/>
      <c r="AO53" s="620"/>
      <c r="AP53" s="669"/>
      <c r="AQ53" s="620"/>
      <c r="AR53" s="669"/>
      <c r="AS53" s="620"/>
      <c r="AT53" s="669"/>
      <c r="AU53" s="620"/>
      <c r="AV53" s="669"/>
    </row>
    <row r="54" spans="1:48" ht="15">
      <c r="A54" s="1045" t="s">
        <v>103</v>
      </c>
      <c r="B54" s="1046" t="s">
        <v>103</v>
      </c>
      <c r="C54" s="473">
        <v>2576.1</v>
      </c>
      <c r="D54" s="736">
        <v>0</v>
      </c>
      <c r="E54" s="473">
        <v>5152.1899999999996</v>
      </c>
      <c r="F54" s="736">
        <v>0</v>
      </c>
      <c r="G54" s="473">
        <v>12880.48</v>
      </c>
      <c r="H54" s="736">
        <v>0.01</v>
      </c>
      <c r="I54" s="473">
        <v>15456.58</v>
      </c>
      <c r="J54" s="736">
        <v>0.01</v>
      </c>
      <c r="K54" s="473">
        <v>18032.669999999998</v>
      </c>
      <c r="L54" s="736">
        <v>0.02</v>
      </c>
      <c r="M54" s="473">
        <v>20608.77</v>
      </c>
      <c r="N54" s="736">
        <v>0.02</v>
      </c>
      <c r="O54" s="473">
        <v>23184.86</v>
      </c>
      <c r="P54" s="736">
        <v>0.02</v>
      </c>
      <c r="Q54" s="473">
        <v>30913.15</v>
      </c>
      <c r="R54" s="736">
        <v>0.03</v>
      </c>
      <c r="S54" s="473">
        <v>33489.25</v>
      </c>
      <c r="T54" s="736">
        <v>0.03</v>
      </c>
      <c r="U54" s="473">
        <v>36065.339999999997</v>
      </c>
      <c r="V54" s="736">
        <v>0.03</v>
      </c>
      <c r="W54" s="473">
        <v>38641.440000000002</v>
      </c>
      <c r="X54" s="736">
        <v>0.04</v>
      </c>
      <c r="Y54" s="473">
        <v>41217.53</v>
      </c>
      <c r="Z54" s="736">
        <v>0.04</v>
      </c>
      <c r="AA54" s="473">
        <v>48945.82</v>
      </c>
      <c r="AB54" s="736">
        <v>0.05</v>
      </c>
      <c r="AC54" s="473">
        <v>51521.919999999998</v>
      </c>
      <c r="AD54" s="736">
        <v>0.05</v>
      </c>
      <c r="AE54" s="473">
        <v>54098.01</v>
      </c>
      <c r="AF54" s="736">
        <v>0.05</v>
      </c>
      <c r="AG54" s="473">
        <v>56674.11</v>
      </c>
      <c r="AH54" s="736">
        <v>0.05</v>
      </c>
      <c r="AI54" s="473">
        <v>59250.21</v>
      </c>
      <c r="AJ54" s="736">
        <v>0.06</v>
      </c>
      <c r="AK54" s="473">
        <v>66978.490000000005</v>
      </c>
      <c r="AL54" s="736">
        <v>6.9999999999999993E-2</v>
      </c>
      <c r="AM54" s="473">
        <v>69554.59</v>
      </c>
      <c r="AN54" s="736">
        <v>7.0000000000000007E-2</v>
      </c>
      <c r="AO54" s="473">
        <v>72130.679999999993</v>
      </c>
      <c r="AP54" s="736">
        <v>7.0000000000000007E-2</v>
      </c>
      <c r="AQ54" s="473">
        <v>74706.78</v>
      </c>
      <c r="AR54" s="736">
        <v>7.0000000000000007E-2</v>
      </c>
      <c r="AS54" s="473">
        <v>77282.880000000005</v>
      </c>
      <c r="AT54" s="736">
        <v>7.0000000000000007E-2</v>
      </c>
      <c r="AU54" s="511">
        <v>79858.97</v>
      </c>
      <c r="AV54" s="736">
        <v>7.0000000000000007E-2</v>
      </c>
    </row>
    <row r="55" spans="1:48" ht="15">
      <c r="A55" s="1032" t="s">
        <v>39</v>
      </c>
      <c r="B55" s="1044" t="s">
        <v>39</v>
      </c>
      <c r="C55" s="473">
        <v>61008.49</v>
      </c>
      <c r="D55" s="736">
        <v>0.06</v>
      </c>
      <c r="E55" s="473">
        <v>61744.52</v>
      </c>
      <c r="F55" s="736">
        <v>0.06</v>
      </c>
      <c r="G55" s="473">
        <v>63952.6</v>
      </c>
      <c r="H55" s="736">
        <v>0.06</v>
      </c>
      <c r="I55" s="473">
        <v>64688.63</v>
      </c>
      <c r="J55" s="736">
        <v>0.06</v>
      </c>
      <c r="K55" s="473">
        <v>65424.66</v>
      </c>
      <c r="L55" s="736">
        <v>0.06</v>
      </c>
      <c r="M55" s="473">
        <v>66160.69</v>
      </c>
      <c r="N55" s="736">
        <v>0.06</v>
      </c>
      <c r="O55" s="473">
        <v>66896.710000000006</v>
      </c>
      <c r="P55" s="736">
        <v>0.06</v>
      </c>
      <c r="Q55" s="473">
        <v>69104.800000000003</v>
      </c>
      <c r="R55" s="736">
        <v>7.0000000000000007E-2</v>
      </c>
      <c r="S55" s="473">
        <v>69840.820000000007</v>
      </c>
      <c r="T55" s="736">
        <v>7.0000000000000007E-2</v>
      </c>
      <c r="U55" s="473">
        <v>70576.850000000006</v>
      </c>
      <c r="V55" s="736">
        <v>7.0000000000000007E-2</v>
      </c>
      <c r="W55" s="473">
        <v>71312.88</v>
      </c>
      <c r="X55" s="736">
        <v>7.0000000000000007E-2</v>
      </c>
      <c r="Y55" s="473">
        <v>72048.91</v>
      </c>
      <c r="Z55" s="736">
        <v>7.0000000000000007E-2</v>
      </c>
      <c r="AA55" s="473">
        <v>74256.990000000005</v>
      </c>
      <c r="AB55" s="736">
        <v>7.0000000000000007E-2</v>
      </c>
      <c r="AC55" s="473">
        <v>74993.02</v>
      </c>
      <c r="AD55" s="736">
        <v>7.0000000000000007E-2</v>
      </c>
      <c r="AE55" s="473">
        <v>75729.039999999994</v>
      </c>
      <c r="AF55" s="736">
        <v>7.0000000000000007E-2</v>
      </c>
      <c r="AG55" s="473">
        <v>76465.070000000007</v>
      </c>
      <c r="AH55" s="736">
        <v>7.0000000000000007E-2</v>
      </c>
      <c r="AI55" s="473">
        <v>77201.100000000006</v>
      </c>
      <c r="AJ55" s="736">
        <v>7.0000000000000007E-2</v>
      </c>
      <c r="AK55" s="473">
        <v>79409.179999999993</v>
      </c>
      <c r="AL55" s="736">
        <v>0.08</v>
      </c>
      <c r="AM55" s="473">
        <v>80145.210000000006</v>
      </c>
      <c r="AN55" s="736">
        <v>0.08</v>
      </c>
      <c r="AO55" s="473">
        <v>80881.23</v>
      </c>
      <c r="AP55" s="736">
        <v>0.08</v>
      </c>
      <c r="AQ55" s="473">
        <v>81617.259999999995</v>
      </c>
      <c r="AR55" s="736">
        <v>0.08</v>
      </c>
      <c r="AS55" s="473">
        <v>82353.289999999994</v>
      </c>
      <c r="AT55" s="736">
        <v>0.08</v>
      </c>
      <c r="AU55" s="511">
        <v>83089.320000000007</v>
      </c>
      <c r="AV55" s="736">
        <v>0.08</v>
      </c>
    </row>
    <row r="56" spans="1:48" ht="15">
      <c r="A56" s="1040" t="s">
        <v>95</v>
      </c>
      <c r="B56" s="1041" t="s">
        <v>95</v>
      </c>
      <c r="C56" s="536">
        <v>1669.69</v>
      </c>
      <c r="D56" s="737">
        <v>0</v>
      </c>
      <c r="E56" s="536">
        <v>3339.38</v>
      </c>
      <c r="F56" s="737">
        <v>0</v>
      </c>
      <c r="G56" s="536">
        <v>8348.4599999999991</v>
      </c>
      <c r="H56" s="737">
        <v>0.01</v>
      </c>
      <c r="I56" s="536">
        <v>10018.15</v>
      </c>
      <c r="J56" s="737">
        <v>0.01</v>
      </c>
      <c r="K56" s="536">
        <v>11687.84</v>
      </c>
      <c r="L56" s="737">
        <v>0.01</v>
      </c>
      <c r="M56" s="536">
        <v>13357.53</v>
      </c>
      <c r="N56" s="737">
        <v>0.01</v>
      </c>
      <c r="O56" s="536">
        <v>15027.23</v>
      </c>
      <c r="P56" s="737">
        <v>0.01</v>
      </c>
      <c r="Q56" s="536">
        <v>20036.3</v>
      </c>
      <c r="R56" s="737">
        <v>0.02</v>
      </c>
      <c r="S56" s="536">
        <v>21705.99</v>
      </c>
      <c r="T56" s="737">
        <v>0.02</v>
      </c>
      <c r="U56" s="536">
        <v>23375.68</v>
      </c>
      <c r="V56" s="737">
        <v>0.02</v>
      </c>
      <c r="W56" s="536">
        <v>25045.38</v>
      </c>
      <c r="X56" s="737">
        <v>0.02</v>
      </c>
      <c r="Y56" s="536">
        <v>26715.07</v>
      </c>
      <c r="Z56" s="737">
        <v>0.03</v>
      </c>
      <c r="AA56" s="536">
        <v>31724.14</v>
      </c>
      <c r="AB56" s="737">
        <v>0.03</v>
      </c>
      <c r="AC56" s="536">
        <v>33393.839999999997</v>
      </c>
      <c r="AD56" s="737">
        <v>0.03</v>
      </c>
      <c r="AE56" s="536">
        <v>35063.53</v>
      </c>
      <c r="AF56" s="737">
        <v>0.03</v>
      </c>
      <c r="AG56" s="536">
        <v>36733.22</v>
      </c>
      <c r="AH56" s="737">
        <v>0.04</v>
      </c>
      <c r="AI56" s="536">
        <v>38402.910000000003</v>
      </c>
      <c r="AJ56" s="737">
        <v>0.04</v>
      </c>
      <c r="AK56" s="536">
        <v>43411.99</v>
      </c>
      <c r="AL56" s="737">
        <v>0.04</v>
      </c>
      <c r="AM56" s="536">
        <v>45081.68</v>
      </c>
      <c r="AN56" s="737">
        <v>0.04</v>
      </c>
      <c r="AO56" s="536">
        <v>46751.37</v>
      </c>
      <c r="AP56" s="737">
        <v>0.04</v>
      </c>
      <c r="AQ56" s="536">
        <v>48421.06</v>
      </c>
      <c r="AR56" s="737">
        <v>0.05</v>
      </c>
      <c r="AS56" s="536">
        <v>50090.75</v>
      </c>
      <c r="AT56" s="737">
        <v>0.05</v>
      </c>
      <c r="AU56" s="511">
        <v>51760.45</v>
      </c>
      <c r="AV56" s="737">
        <v>0.05</v>
      </c>
    </row>
    <row r="57" spans="1:48" ht="15">
      <c r="A57" s="1040" t="s">
        <v>126</v>
      </c>
      <c r="B57" s="1041" t="s">
        <v>126</v>
      </c>
      <c r="C57" s="536">
        <v>74216.100000000006</v>
      </c>
      <c r="D57" s="737">
        <v>7.0000000000000007E-2</v>
      </c>
      <c r="E57" s="536">
        <v>75700.42</v>
      </c>
      <c r="F57" s="737">
        <v>7.0000000000000007E-2</v>
      </c>
      <c r="G57" s="536">
        <v>80153.38</v>
      </c>
      <c r="H57" s="737">
        <v>0.08</v>
      </c>
      <c r="I57" s="536">
        <v>81637.710000000006</v>
      </c>
      <c r="J57" s="737">
        <v>0.08</v>
      </c>
      <c r="K57" s="536">
        <v>83122.03</v>
      </c>
      <c r="L57" s="737">
        <v>0.08</v>
      </c>
      <c r="M57" s="536">
        <v>84606.35</v>
      </c>
      <c r="N57" s="737">
        <v>0.08</v>
      </c>
      <c r="O57" s="536">
        <v>86090.67</v>
      </c>
      <c r="P57" s="737">
        <v>0.08</v>
      </c>
      <c r="Q57" s="536">
        <v>90543.64</v>
      </c>
      <c r="R57" s="737">
        <v>0.09</v>
      </c>
      <c r="S57" s="536">
        <v>92027.96</v>
      </c>
      <c r="T57" s="737">
        <v>0.09</v>
      </c>
      <c r="U57" s="536">
        <v>93512.28</v>
      </c>
      <c r="V57" s="737">
        <v>0.09</v>
      </c>
      <c r="W57" s="536">
        <v>94996.6</v>
      </c>
      <c r="X57" s="737">
        <v>0.09</v>
      </c>
      <c r="Y57" s="536">
        <v>96480.92</v>
      </c>
      <c r="Z57" s="737">
        <v>0.09</v>
      </c>
      <c r="AA57" s="536">
        <v>100933.89</v>
      </c>
      <c r="AB57" s="737">
        <v>0.1</v>
      </c>
      <c r="AC57" s="536">
        <v>102418.21</v>
      </c>
      <c r="AD57" s="737">
        <v>0.1</v>
      </c>
      <c r="AE57" s="536">
        <v>103902.53</v>
      </c>
      <c r="AF57" s="737">
        <v>0.1</v>
      </c>
      <c r="AG57" s="536">
        <v>105386.86</v>
      </c>
      <c r="AH57" s="737">
        <v>0.1</v>
      </c>
      <c r="AI57" s="536">
        <v>106871.18</v>
      </c>
      <c r="AJ57" s="737">
        <v>0.1</v>
      </c>
      <c r="AK57" s="536">
        <v>111324.14</v>
      </c>
      <c r="AL57" s="737">
        <v>0.11</v>
      </c>
      <c r="AM57" s="536">
        <v>112808.47</v>
      </c>
      <c r="AN57" s="737">
        <v>0.11</v>
      </c>
      <c r="AO57" s="536">
        <v>114292.79</v>
      </c>
      <c r="AP57" s="737">
        <v>0.11</v>
      </c>
      <c r="AQ57" s="536">
        <v>115777.11</v>
      </c>
      <c r="AR57" s="737">
        <v>0.11</v>
      </c>
      <c r="AS57" s="536">
        <v>117261.43</v>
      </c>
      <c r="AT57" s="737">
        <v>0.11</v>
      </c>
      <c r="AU57" s="511">
        <v>118745.75</v>
      </c>
      <c r="AV57" s="737">
        <v>0.11</v>
      </c>
    </row>
    <row r="58" spans="1:48" ht="15">
      <c r="A58" s="1040" t="s">
        <v>126</v>
      </c>
      <c r="B58" s="1041" t="s">
        <v>126</v>
      </c>
      <c r="C58" s="536">
        <v>1608.36</v>
      </c>
      <c r="D58" s="737">
        <v>0</v>
      </c>
      <c r="E58" s="536">
        <v>1930.03</v>
      </c>
      <c r="F58" s="737">
        <v>0</v>
      </c>
      <c r="G58" s="536">
        <v>2895.04</v>
      </c>
      <c r="H58" s="737">
        <v>0</v>
      </c>
      <c r="I58" s="536">
        <v>3216.71</v>
      </c>
      <c r="J58" s="737">
        <v>0</v>
      </c>
      <c r="K58" s="536">
        <v>3538.38</v>
      </c>
      <c r="L58" s="737">
        <v>0</v>
      </c>
      <c r="M58" s="536">
        <v>3860.05</v>
      </c>
      <c r="N58" s="737">
        <v>0</v>
      </c>
      <c r="O58" s="536">
        <v>4181.7299999999996</v>
      </c>
      <c r="P58" s="737">
        <v>0</v>
      </c>
      <c r="Q58" s="536">
        <v>5146.74</v>
      </c>
      <c r="R58" s="737">
        <v>0</v>
      </c>
      <c r="S58" s="536">
        <v>5468.41</v>
      </c>
      <c r="T58" s="737">
        <v>0.01</v>
      </c>
      <c r="U58" s="536">
        <v>5790.08</v>
      </c>
      <c r="V58" s="737">
        <v>0.01</v>
      </c>
      <c r="W58" s="536">
        <v>6111.75</v>
      </c>
      <c r="X58" s="737">
        <v>0.01</v>
      </c>
      <c r="Y58" s="536">
        <v>6433.42</v>
      </c>
      <c r="Z58" s="737">
        <v>0.01</v>
      </c>
      <c r="AA58" s="536">
        <v>7398.44</v>
      </c>
      <c r="AB58" s="737">
        <v>0.01</v>
      </c>
      <c r="AC58" s="536">
        <v>7720.11</v>
      </c>
      <c r="AD58" s="737">
        <v>0.01</v>
      </c>
      <c r="AE58" s="536">
        <v>8041.78</v>
      </c>
      <c r="AF58" s="737">
        <v>0.01</v>
      </c>
      <c r="AG58" s="536">
        <v>8363.4500000000007</v>
      </c>
      <c r="AH58" s="737">
        <v>0.01</v>
      </c>
      <c r="AI58" s="536">
        <v>8685.1200000000008</v>
      </c>
      <c r="AJ58" s="737">
        <v>0.01</v>
      </c>
      <c r="AK58" s="536">
        <v>9650.14</v>
      </c>
      <c r="AL58" s="737">
        <v>0.01</v>
      </c>
      <c r="AM58" s="536">
        <v>0</v>
      </c>
      <c r="AN58" s="737">
        <v>0</v>
      </c>
      <c r="AO58" s="536">
        <v>340.75</v>
      </c>
      <c r="AP58" s="737">
        <v>0</v>
      </c>
      <c r="AQ58" s="536">
        <v>681.51</v>
      </c>
      <c r="AR58" s="737">
        <v>0</v>
      </c>
      <c r="AS58" s="536">
        <v>1022.26</v>
      </c>
      <c r="AT58" s="737">
        <v>0</v>
      </c>
      <c r="AU58" s="511">
        <v>1363.01</v>
      </c>
      <c r="AV58" s="737">
        <v>0</v>
      </c>
    </row>
    <row r="59" spans="1:48" ht="15">
      <c r="A59" s="1042" t="s">
        <v>58</v>
      </c>
      <c r="B59" s="1043" t="s">
        <v>58</v>
      </c>
      <c r="C59" s="536">
        <v>104.52</v>
      </c>
      <c r="D59" s="737">
        <v>0</v>
      </c>
      <c r="E59" s="536">
        <v>209.03</v>
      </c>
      <c r="F59" s="737">
        <v>0</v>
      </c>
      <c r="G59" s="536">
        <v>313.55</v>
      </c>
      <c r="H59" s="737">
        <v>0</v>
      </c>
      <c r="I59" s="536">
        <v>381.26</v>
      </c>
      <c r="J59" s="737">
        <v>0</v>
      </c>
      <c r="K59" s="536">
        <v>448.98</v>
      </c>
      <c r="L59" s="737">
        <v>0</v>
      </c>
      <c r="M59" s="536">
        <v>516.69000000000005</v>
      </c>
      <c r="N59" s="737">
        <v>0</v>
      </c>
      <c r="O59" s="536">
        <v>584.41</v>
      </c>
      <c r="P59" s="737">
        <v>0</v>
      </c>
      <c r="Q59" s="536">
        <v>787.55</v>
      </c>
      <c r="R59" s="737">
        <v>0</v>
      </c>
      <c r="S59" s="536">
        <v>855.27</v>
      </c>
      <c r="T59" s="737">
        <v>0</v>
      </c>
      <c r="U59" s="536">
        <v>914.81</v>
      </c>
      <c r="V59" s="737">
        <v>0</v>
      </c>
      <c r="W59" s="536">
        <v>974.34</v>
      </c>
      <c r="X59" s="737">
        <v>0</v>
      </c>
      <c r="Y59" s="536">
        <v>1033.8800000000001</v>
      </c>
      <c r="Z59" s="737">
        <v>0</v>
      </c>
      <c r="AA59" s="536">
        <v>1212.49</v>
      </c>
      <c r="AB59" s="737">
        <v>0</v>
      </c>
      <c r="AC59" s="536">
        <v>1272.03</v>
      </c>
      <c r="AD59" s="737">
        <v>0</v>
      </c>
      <c r="AE59" s="536">
        <v>1331.56</v>
      </c>
      <c r="AF59" s="737">
        <v>0</v>
      </c>
      <c r="AG59" s="536">
        <v>1391.1</v>
      </c>
      <c r="AH59" s="737">
        <v>0</v>
      </c>
      <c r="AI59" s="536">
        <v>1450.63</v>
      </c>
      <c r="AJ59" s="737">
        <v>0</v>
      </c>
      <c r="AK59" s="536">
        <v>1629.24</v>
      </c>
      <c r="AL59" s="737">
        <v>0</v>
      </c>
      <c r="AM59" s="536">
        <v>1688.78</v>
      </c>
      <c r="AN59" s="737">
        <v>0</v>
      </c>
      <c r="AO59" s="536">
        <v>1748.32</v>
      </c>
      <c r="AP59" s="737">
        <v>0</v>
      </c>
      <c r="AQ59" s="536">
        <v>1852.84</v>
      </c>
      <c r="AR59" s="737">
        <v>0</v>
      </c>
      <c r="AS59" s="536">
        <v>1957.35</v>
      </c>
      <c r="AT59" s="737">
        <v>0</v>
      </c>
      <c r="AU59" s="511">
        <v>2061.87</v>
      </c>
      <c r="AV59" s="737">
        <v>0</v>
      </c>
    </row>
    <row r="60" spans="1:48" s="459" customFormat="1">
      <c r="A60" s="458" t="s">
        <v>120</v>
      </c>
      <c r="B60" s="424" t="s">
        <v>105</v>
      </c>
      <c r="C60" s="753"/>
      <c r="D60" s="699"/>
      <c r="E60" s="753"/>
      <c r="F60" s="699"/>
      <c r="G60" s="753"/>
      <c r="H60" s="699"/>
      <c r="I60" s="753"/>
      <c r="J60" s="699"/>
      <c r="K60" s="753"/>
      <c r="L60" s="699"/>
      <c r="M60" s="753"/>
      <c r="N60" s="699"/>
      <c r="O60" s="753"/>
      <c r="P60" s="699"/>
      <c r="Q60" s="753"/>
      <c r="R60" s="699"/>
      <c r="S60" s="753"/>
      <c r="T60" s="699"/>
      <c r="U60" s="753"/>
      <c r="V60" s="699"/>
      <c r="W60" s="753"/>
      <c r="X60" s="699"/>
      <c r="Y60" s="753"/>
      <c r="Z60" s="699"/>
      <c r="AA60" s="753"/>
      <c r="AB60" s="699"/>
      <c r="AC60" s="753"/>
      <c r="AD60" s="699"/>
      <c r="AE60" s="753"/>
      <c r="AF60" s="699"/>
      <c r="AG60" s="753"/>
      <c r="AH60" s="699"/>
      <c r="AI60" s="753"/>
      <c r="AJ60" s="699"/>
      <c r="AK60" s="753"/>
      <c r="AL60" s="699"/>
      <c r="AM60" s="753"/>
      <c r="AN60" s="699"/>
      <c r="AO60" s="753"/>
      <c r="AP60" s="699"/>
      <c r="AQ60" s="753"/>
      <c r="AR60" s="699"/>
      <c r="AS60" s="753"/>
      <c r="AT60" s="699"/>
      <c r="AU60" s="753"/>
      <c r="AV60" s="699"/>
    </row>
    <row r="61" spans="1:48" s="459" customFormat="1">
      <c r="A61" s="543" t="s">
        <v>128</v>
      </c>
      <c r="B61" s="544"/>
      <c r="C61" s="753"/>
      <c r="D61" s="699"/>
      <c r="E61" s="753"/>
      <c r="F61" s="699"/>
      <c r="G61" s="753"/>
      <c r="H61" s="699"/>
      <c r="I61" s="753"/>
      <c r="J61" s="699"/>
      <c r="K61" s="753"/>
      <c r="L61" s="699"/>
      <c r="M61" s="753"/>
      <c r="N61" s="699"/>
      <c r="O61" s="753"/>
      <c r="P61" s="699"/>
      <c r="Q61" s="753"/>
      <c r="R61" s="699"/>
      <c r="S61" s="753"/>
      <c r="T61" s="699"/>
      <c r="U61" s="753"/>
      <c r="V61" s="699"/>
      <c r="W61" s="753"/>
      <c r="X61" s="699"/>
      <c r="Y61" s="753"/>
      <c r="Z61" s="699"/>
      <c r="AA61" s="753"/>
      <c r="AB61" s="699"/>
      <c r="AC61" s="753"/>
      <c r="AD61" s="699"/>
      <c r="AE61" s="753"/>
      <c r="AF61" s="699"/>
      <c r="AG61" s="753"/>
      <c r="AH61" s="699"/>
      <c r="AI61" s="753"/>
      <c r="AJ61" s="699"/>
      <c r="AK61" s="753"/>
      <c r="AL61" s="699"/>
      <c r="AM61" s="753"/>
      <c r="AN61" s="699"/>
      <c r="AO61" s="753"/>
      <c r="AP61" s="699"/>
      <c r="AQ61" s="753"/>
      <c r="AR61" s="699"/>
      <c r="AS61" s="753"/>
      <c r="AT61" s="699"/>
      <c r="AU61" s="753"/>
      <c r="AV61" s="699"/>
    </row>
    <row r="62" spans="1:48" s="459" customFormat="1" ht="15">
      <c r="A62" s="1032" t="s">
        <v>39</v>
      </c>
      <c r="B62" s="1044" t="s">
        <v>39</v>
      </c>
      <c r="C62" s="754"/>
      <c r="D62" s="699"/>
      <c r="E62" s="754"/>
      <c r="F62" s="699"/>
      <c r="G62" s="754"/>
      <c r="H62" s="699"/>
      <c r="I62" s="754"/>
      <c r="J62" s="699"/>
      <c r="K62" s="754"/>
      <c r="L62" s="699"/>
      <c r="M62" s="754"/>
      <c r="N62" s="699"/>
      <c r="O62" s="754"/>
      <c r="P62" s="699"/>
      <c r="Q62" s="754"/>
      <c r="R62" s="699"/>
      <c r="S62" s="754"/>
      <c r="T62" s="699"/>
      <c r="U62" s="754"/>
      <c r="V62" s="699"/>
      <c r="W62" s="754"/>
      <c r="X62" s="699"/>
      <c r="Y62" s="754"/>
      <c r="Z62" s="699"/>
      <c r="AA62" s="754"/>
      <c r="AB62" s="699"/>
      <c r="AC62" s="754"/>
      <c r="AD62" s="699"/>
      <c r="AE62" s="754"/>
      <c r="AF62" s="699"/>
      <c r="AG62" s="754"/>
      <c r="AH62" s="699"/>
      <c r="AI62" s="754"/>
      <c r="AJ62" s="699"/>
      <c r="AK62" s="754"/>
      <c r="AL62" s="699"/>
      <c r="AM62" s="754"/>
      <c r="AN62" s="699"/>
      <c r="AO62" s="754"/>
      <c r="AP62" s="699"/>
      <c r="AQ62" s="754"/>
      <c r="AR62" s="699"/>
      <c r="AS62" s="754"/>
      <c r="AT62" s="699"/>
      <c r="AU62" s="754"/>
      <c r="AV62" s="699"/>
    </row>
    <row r="63" spans="1:48" ht="16.5" thickBot="1">
      <c r="A63" s="1018"/>
      <c r="B63" s="1019"/>
      <c r="C63" s="626">
        <f t="shared" ref="C63:D63" si="85">SUM(C35:C62)</f>
        <v>4882024.4200000009</v>
      </c>
      <c r="D63" s="684">
        <f t="shared" si="85"/>
        <v>4.6999999999999993</v>
      </c>
      <c r="E63" s="626">
        <f t="shared" ref="E63:F63" si="86">SUM(E35:E62)</f>
        <v>4884152.790000001</v>
      </c>
      <c r="F63" s="684">
        <f t="shared" si="86"/>
        <v>4.6999999999999993</v>
      </c>
      <c r="G63" s="626">
        <f t="shared" ref="G63:H63" si="87">SUM(G35:G62)</f>
        <v>4890628.9200000009</v>
      </c>
      <c r="H63" s="684">
        <f t="shared" si="87"/>
        <v>4.6899999999999986</v>
      </c>
      <c r="I63" s="626">
        <f t="shared" ref="I63:J63" si="88">SUM(I35:I62)</f>
        <v>4893734.8499999996</v>
      </c>
      <c r="J63" s="684">
        <f t="shared" si="88"/>
        <v>4.7099999999999982</v>
      </c>
      <c r="K63" s="626">
        <f t="shared" ref="K63:L63" si="89">SUM(K35:K62)</f>
        <v>4894346.1600000011</v>
      </c>
      <c r="L63" s="684">
        <f t="shared" si="89"/>
        <v>4.719999999999998</v>
      </c>
      <c r="M63" s="626">
        <f t="shared" ref="M63:N63" si="90">SUM(M35:M62)</f>
        <v>4893422.4700000007</v>
      </c>
      <c r="N63" s="684">
        <f t="shared" si="90"/>
        <v>4.7099999999999982</v>
      </c>
      <c r="O63" s="626">
        <f t="shared" ref="O63:P63" si="91">SUM(O35:O62)</f>
        <v>4895514.0600000015</v>
      </c>
      <c r="P63" s="684">
        <f t="shared" si="91"/>
        <v>4.7099999999999982</v>
      </c>
      <c r="Q63" s="626">
        <f t="shared" ref="Q63:R63" si="92">SUM(Q35:Q62)</f>
        <v>4901788.8099999996</v>
      </c>
      <c r="R63" s="684">
        <f t="shared" si="92"/>
        <v>4.7099999999999991</v>
      </c>
      <c r="S63" s="626">
        <f t="shared" ref="S63:T63" si="93">SUM(S35:S62)</f>
        <v>4903880.3900000006</v>
      </c>
      <c r="T63" s="684">
        <f t="shared" si="93"/>
        <v>4.7199999999999989</v>
      </c>
      <c r="U63" s="626">
        <f t="shared" ref="U63:V63" si="94">SUM(U35:U62)</f>
        <v>4899869.5999999987</v>
      </c>
      <c r="V63" s="684">
        <f t="shared" si="94"/>
        <v>4.7299999999999986</v>
      </c>
      <c r="W63" s="626">
        <f t="shared" ref="W63:X63" si="95">SUM(W35:W62)</f>
        <v>4901952.9899999993</v>
      </c>
      <c r="X63" s="684">
        <f t="shared" si="95"/>
        <v>4.7199999999999989</v>
      </c>
      <c r="Y63" s="626">
        <f t="shared" ref="Y63:Z63" si="96">SUM(Y35:Y62)</f>
        <v>4904036.3899999997</v>
      </c>
      <c r="Z63" s="684">
        <f t="shared" si="96"/>
        <v>4.7299999999999995</v>
      </c>
      <c r="AA63" s="626">
        <f t="shared" ref="AA63:AB63" si="97">SUM(AA35:AA62)</f>
        <v>4882918.3400000008</v>
      </c>
      <c r="AB63" s="684">
        <f t="shared" si="97"/>
        <v>4.68</v>
      </c>
      <c r="AC63" s="626">
        <f t="shared" ref="AC63:AD63" si="98">SUM(AC35:AC62)</f>
        <v>5007804.67</v>
      </c>
      <c r="AD63" s="684">
        <f t="shared" si="98"/>
        <v>4.8</v>
      </c>
      <c r="AE63" s="626">
        <f t="shared" ref="AE63:AH63" si="99">SUM(AE35:AE62)</f>
        <v>5009888.0600000005</v>
      </c>
      <c r="AF63" s="684">
        <f t="shared" si="99"/>
        <v>4.8099999999999996</v>
      </c>
      <c r="AG63" s="626">
        <f t="shared" si="99"/>
        <v>5011971.4700000007</v>
      </c>
      <c r="AH63" s="684">
        <f t="shared" si="99"/>
        <v>4.8099999999999996</v>
      </c>
      <c r="AI63" s="626">
        <f t="shared" ref="AI63:AJ63" si="100">SUM(AI35:AI62)</f>
        <v>4891251.97</v>
      </c>
      <c r="AJ63" s="684">
        <f t="shared" si="100"/>
        <v>4.6999999999999993</v>
      </c>
      <c r="AK63" s="626">
        <f t="shared" ref="AK63:AL63" si="101">SUM(AK35:AK62)</f>
        <v>4897502.18</v>
      </c>
      <c r="AL63" s="684">
        <f t="shared" si="101"/>
        <v>4.7</v>
      </c>
      <c r="AM63" s="626">
        <f t="shared" ref="AM63:AN63" si="102">SUM(AM35:AM62)</f>
        <v>4895255.8</v>
      </c>
      <c r="AN63" s="684">
        <f t="shared" si="102"/>
        <v>4.6900000000000004</v>
      </c>
      <c r="AO63" s="626">
        <f t="shared" ref="AO63:AP63" si="103">SUM(AO35:AO62)</f>
        <v>4897358.28</v>
      </c>
      <c r="AP63" s="684">
        <f t="shared" si="103"/>
        <v>4.7</v>
      </c>
      <c r="AQ63" s="626">
        <f t="shared" ref="AQ63:AR63" si="104">SUM(AQ35:AQ62)</f>
        <v>4899505.7399999993</v>
      </c>
      <c r="AR63" s="684">
        <f t="shared" si="104"/>
        <v>4.6900000000000004</v>
      </c>
      <c r="AS63" s="626">
        <f t="shared" ref="AS63:AT63" si="105">SUM(AS35:AS62)</f>
        <v>4804976.5699999984</v>
      </c>
      <c r="AT63" s="684">
        <f t="shared" si="105"/>
        <v>4.6000000000000005</v>
      </c>
      <c r="AU63" s="626">
        <f t="shared" ref="AU63:AV63" si="106">SUM(AU35:AU62)</f>
        <v>4883134.07</v>
      </c>
      <c r="AV63" s="684">
        <f t="shared" si="106"/>
        <v>4.67</v>
      </c>
    </row>
    <row r="64" spans="1:48">
      <c r="B64" s="142" t="s">
        <v>59</v>
      </c>
      <c r="C64" s="627">
        <f>C9+C15+C18</f>
        <v>66191931.840000004</v>
      </c>
      <c r="D64" s="686">
        <f>D9+D15</f>
        <v>61.989999999999995</v>
      </c>
      <c r="E64" s="627">
        <f>E9+E15+E18</f>
        <v>66060222.470000006</v>
      </c>
      <c r="F64" s="686">
        <f>F9+F15</f>
        <v>61.940000000000005</v>
      </c>
      <c r="G64" s="627">
        <f>G9+G15+G18</f>
        <v>66339643.149999999</v>
      </c>
      <c r="H64" s="686">
        <f>H9+H15</f>
        <v>62.059999999999988</v>
      </c>
      <c r="I64" s="627">
        <f>I9+I15+I18</f>
        <v>66634176.460000008</v>
      </c>
      <c r="J64" s="686">
        <f>J9+J15</f>
        <v>62.489999999999995</v>
      </c>
      <c r="K64" s="627">
        <f>K9+K15+K18</f>
        <v>66374933.100000001</v>
      </c>
      <c r="L64" s="686">
        <f>L9+L15</f>
        <v>62.370000000000005</v>
      </c>
      <c r="M64" s="627">
        <f>M9+M15+M18</f>
        <v>66632783.5</v>
      </c>
      <c r="N64" s="686">
        <f>N9+N15</f>
        <v>62.47</v>
      </c>
      <c r="O64" s="627">
        <f>O9+O15+O18</f>
        <v>66697045.609999999</v>
      </c>
      <c r="P64" s="686">
        <f>P9+P15</f>
        <v>62.48</v>
      </c>
      <c r="Q64" s="627">
        <f>Q9+Q15+Q18</f>
        <v>66737088.960000008</v>
      </c>
      <c r="R64" s="686">
        <f>R9+R15</f>
        <v>62.489999999999995</v>
      </c>
      <c r="S64" s="627">
        <f>S9+S15+S18</f>
        <v>66653185.649999999</v>
      </c>
      <c r="T64" s="686">
        <f>T9+T15</f>
        <v>62.46</v>
      </c>
      <c r="U64" s="627">
        <f>U9+U15+U18</f>
        <v>66530904.725299999</v>
      </c>
      <c r="V64" s="686">
        <f>V9+V15</f>
        <v>62.5</v>
      </c>
      <c r="W64" s="627">
        <f>W9+W15+W18</f>
        <v>66711573.989999995</v>
      </c>
      <c r="X64" s="686">
        <f>X9+X15</f>
        <v>62.57</v>
      </c>
      <c r="Y64" s="627">
        <f>Y9+Y15+Y18</f>
        <v>66653985.460000008</v>
      </c>
      <c r="Z64" s="686">
        <f>Z9+Z15</f>
        <v>62.55</v>
      </c>
      <c r="AA64" s="627">
        <f>AA9+AA15+AA18</f>
        <v>66787368.450000003</v>
      </c>
      <c r="AB64" s="686">
        <f>AB9+AB15</f>
        <v>62.589999999999989</v>
      </c>
      <c r="AC64" s="627">
        <f>AC9+AC15+AC18</f>
        <v>66879869.349999994</v>
      </c>
      <c r="AD64" s="686">
        <f>AD9+AD15</f>
        <v>62.55</v>
      </c>
      <c r="AE64" s="627">
        <f>AE9+AE15+AE18</f>
        <v>66949904.760000005</v>
      </c>
      <c r="AF64" s="686">
        <f>AF9+AF15</f>
        <v>62.569999999999993</v>
      </c>
      <c r="AG64" s="627">
        <f>AG9+AG15+AG18</f>
        <v>66910346.099999994</v>
      </c>
      <c r="AH64" s="686">
        <f>AH9+AH15</f>
        <v>62.550000000000011</v>
      </c>
      <c r="AI64" s="627">
        <f>AI9+AI15+AI18</f>
        <v>66933433.460000008</v>
      </c>
      <c r="AJ64" s="686">
        <f>AJ9+AJ15</f>
        <v>62.56</v>
      </c>
      <c r="AK64" s="627">
        <f>AK9+AK15+AK18</f>
        <v>66848235.600000001</v>
      </c>
      <c r="AL64" s="686">
        <f>AL9+AL15</f>
        <v>62.53</v>
      </c>
      <c r="AM64" s="627">
        <f>AM9+AM15+AM18</f>
        <v>66984269.489999995</v>
      </c>
      <c r="AN64" s="686">
        <f>AN9+AN15</f>
        <v>62.559999999999995</v>
      </c>
      <c r="AO64" s="627">
        <f>AO9+AO15+AO18</f>
        <v>66444751.820000008</v>
      </c>
      <c r="AP64" s="686">
        <f>AP9+AP15</f>
        <v>62.099999999999994</v>
      </c>
      <c r="AQ64" s="627">
        <f>AQ9+AQ15+AQ18</f>
        <v>66619714.160000004</v>
      </c>
      <c r="AR64" s="686">
        <f>AR9+AR15</f>
        <v>62.22999999999999</v>
      </c>
      <c r="AS64" s="627">
        <f>AS9+AS15+AS18</f>
        <v>66778894.730000004</v>
      </c>
      <c r="AT64" s="686">
        <f>AT9+AT15</f>
        <v>62.29</v>
      </c>
      <c r="AU64" s="627">
        <f>AU9+AU15+AU18</f>
        <v>66829963.480000004</v>
      </c>
      <c r="AV64" s="686">
        <f>AV9+AV15</f>
        <v>62.260000000000005</v>
      </c>
    </row>
    <row r="65" spans="1:48">
      <c r="A65" s="145"/>
      <c r="B65" s="145" t="s">
        <v>109</v>
      </c>
      <c r="C65" s="628">
        <f t="shared" ref="C65:D65" si="107">C32</f>
        <v>25948994.759999998</v>
      </c>
      <c r="D65" s="688">
        <f t="shared" si="107"/>
        <v>24.950000000000003</v>
      </c>
      <c r="E65" s="628">
        <f t="shared" ref="E65:F65" si="108">E32</f>
        <v>25948994.759999998</v>
      </c>
      <c r="F65" s="688">
        <f t="shared" si="108"/>
        <v>24.979999999999997</v>
      </c>
      <c r="G65" s="628">
        <f t="shared" ref="G65:H65" si="109">G32</f>
        <v>25912748.310000002</v>
      </c>
      <c r="H65" s="688">
        <f t="shared" si="109"/>
        <v>24.880000000000003</v>
      </c>
      <c r="I65" s="628">
        <f t="shared" ref="I65:J65" si="110">I32</f>
        <v>25384973.02</v>
      </c>
      <c r="J65" s="688">
        <f t="shared" si="110"/>
        <v>24.42</v>
      </c>
      <c r="K65" s="628">
        <f t="shared" ref="K65:L65" si="111">K32</f>
        <v>25404674.780000001</v>
      </c>
      <c r="L65" s="688">
        <f t="shared" si="111"/>
        <v>24.5</v>
      </c>
      <c r="M65" s="628">
        <f t="shared" ref="M65:N65" si="112">M32</f>
        <v>25414215.18</v>
      </c>
      <c r="N65" s="688">
        <f t="shared" si="112"/>
        <v>24.450000000000003</v>
      </c>
      <c r="O65" s="628">
        <f t="shared" ref="O65:P65" si="113">O32</f>
        <v>25414215.18</v>
      </c>
      <c r="P65" s="688">
        <f t="shared" si="113"/>
        <v>24.439999999999998</v>
      </c>
      <c r="Q65" s="628">
        <f t="shared" ref="Q65:R65" si="114">Q32</f>
        <v>25418010.18</v>
      </c>
      <c r="R65" s="688">
        <f t="shared" si="114"/>
        <v>24.43</v>
      </c>
      <c r="S65" s="628">
        <f t="shared" ref="S65:T65" si="115">S32</f>
        <v>25418010.18</v>
      </c>
      <c r="T65" s="688">
        <f t="shared" si="115"/>
        <v>24.439999999999998</v>
      </c>
      <c r="U65" s="628">
        <f t="shared" ref="U65:V65" si="116">U32</f>
        <v>25278806.390000001</v>
      </c>
      <c r="V65" s="688">
        <f t="shared" si="116"/>
        <v>24.37</v>
      </c>
      <c r="W65" s="628">
        <f t="shared" ref="W65:X65" si="117">W32</f>
        <v>25278806.390000001</v>
      </c>
      <c r="X65" s="688">
        <f t="shared" si="117"/>
        <v>24.33</v>
      </c>
      <c r="Y65" s="628">
        <f t="shared" ref="Y65:Z65" si="118">Y32</f>
        <v>25278806.390000001</v>
      </c>
      <c r="Z65" s="688">
        <f t="shared" si="118"/>
        <v>24.339999999999996</v>
      </c>
      <c r="AA65" s="628">
        <f t="shared" ref="AA65:AB65" si="119">AA32</f>
        <v>25306312.18</v>
      </c>
      <c r="AB65" s="688">
        <f t="shared" si="119"/>
        <v>24.340000000000003</v>
      </c>
      <c r="AC65" s="628">
        <f t="shared" ref="AC65:AD65" si="120">AC32</f>
        <v>25306312.18</v>
      </c>
      <c r="AD65" s="688">
        <f t="shared" si="120"/>
        <v>24.290000000000003</v>
      </c>
      <c r="AE65" s="628">
        <f t="shared" ref="AE65:AH65" si="121">AE32</f>
        <v>25306312.18</v>
      </c>
      <c r="AF65" s="688">
        <f t="shared" si="121"/>
        <v>24.27</v>
      </c>
      <c r="AG65" s="628">
        <f t="shared" si="121"/>
        <v>25306312.18</v>
      </c>
      <c r="AH65" s="688">
        <f t="shared" si="121"/>
        <v>24.28</v>
      </c>
      <c r="AI65" s="628">
        <f t="shared" ref="AI65:AJ65" si="122">AI32</f>
        <v>25429732.18</v>
      </c>
      <c r="AJ65" s="688">
        <f t="shared" si="122"/>
        <v>24.39</v>
      </c>
      <c r="AK65" s="628">
        <f t="shared" ref="AK65:AL65" si="123">AK32</f>
        <v>25429732.18</v>
      </c>
      <c r="AL65" s="688">
        <f t="shared" si="123"/>
        <v>24.41</v>
      </c>
      <c r="AM65" s="628">
        <f t="shared" ref="AM65:AN65" si="124">AM32</f>
        <v>25462568.810000002</v>
      </c>
      <c r="AN65" s="688">
        <f t="shared" si="124"/>
        <v>24.4</v>
      </c>
      <c r="AO65" s="628">
        <f t="shared" ref="AO65:AP65" si="125">AO32</f>
        <v>25893800.079999998</v>
      </c>
      <c r="AP65" s="688">
        <f t="shared" si="125"/>
        <v>24.84</v>
      </c>
      <c r="AQ65" s="628">
        <f t="shared" ref="AQ65:AR65" si="126">AQ32</f>
        <v>25788247.629999999</v>
      </c>
      <c r="AR65" s="688">
        <f t="shared" si="126"/>
        <v>24.72</v>
      </c>
      <c r="AS65" s="628">
        <f t="shared" ref="AS65:AT65" si="127">AS32</f>
        <v>25885410.060000002</v>
      </c>
      <c r="AT65" s="688">
        <f t="shared" si="127"/>
        <v>24.77</v>
      </c>
      <c r="AU65" s="628">
        <f t="shared" ref="AU65:AV65" si="128">AU32</f>
        <v>25885410.060000002</v>
      </c>
      <c r="AV65" s="688">
        <f t="shared" si="128"/>
        <v>24.740000000000002</v>
      </c>
    </row>
    <row r="66" spans="1:48">
      <c r="B66" s="145" t="s">
        <v>110</v>
      </c>
      <c r="C66" s="628">
        <f t="shared" ref="C66:J66" si="129">C22</f>
        <v>7005983.7000000002</v>
      </c>
      <c r="D66" s="688">
        <f t="shared" si="129"/>
        <v>6.7299999999999995</v>
      </c>
      <c r="E66" s="628">
        <f t="shared" si="129"/>
        <v>7005983.7000000002</v>
      </c>
      <c r="F66" s="688">
        <f t="shared" si="129"/>
        <v>6.7299999999999995</v>
      </c>
      <c r="G66" s="628">
        <f t="shared" si="129"/>
        <v>7005983.7000000002</v>
      </c>
      <c r="H66" s="688">
        <f t="shared" si="129"/>
        <v>6.7299999999999995</v>
      </c>
      <c r="I66" s="628">
        <f t="shared" si="129"/>
        <v>7005983.7000000002</v>
      </c>
      <c r="J66" s="688">
        <f t="shared" si="129"/>
        <v>6.74</v>
      </c>
      <c r="K66" s="628">
        <f t="shared" ref="K66:L66" si="130">K22</f>
        <v>7005983.7000000002</v>
      </c>
      <c r="L66" s="688">
        <f t="shared" si="130"/>
        <v>6.76</v>
      </c>
      <c r="M66" s="628">
        <f t="shared" ref="M66:N66" si="131">M22</f>
        <v>7005983.7000000002</v>
      </c>
      <c r="N66" s="688">
        <f t="shared" si="131"/>
        <v>6.74</v>
      </c>
      <c r="O66" s="628">
        <f t="shared" ref="O66:P66" si="132">O22</f>
        <v>7005983.7000000002</v>
      </c>
      <c r="P66" s="688">
        <f t="shared" si="132"/>
        <v>6.74</v>
      </c>
      <c r="Q66" s="628">
        <f t="shared" ref="Q66:R66" si="133">Q22</f>
        <v>7005983.7000000002</v>
      </c>
      <c r="R66" s="688">
        <f t="shared" si="133"/>
        <v>6.7299999999999995</v>
      </c>
      <c r="S66" s="628">
        <f t="shared" ref="S66:T66" si="134">S22</f>
        <v>7005983.7000000002</v>
      </c>
      <c r="T66" s="688">
        <f t="shared" si="134"/>
        <v>6.74</v>
      </c>
      <c r="U66" s="628">
        <f t="shared" ref="U66:V66" si="135">U22</f>
        <v>7005983.7000000002</v>
      </c>
      <c r="V66" s="688">
        <f t="shared" si="135"/>
        <v>6.76</v>
      </c>
      <c r="W66" s="628">
        <f t="shared" ref="W66:X66" si="136">W22</f>
        <v>7005983.7000000002</v>
      </c>
      <c r="X66" s="688">
        <f t="shared" si="136"/>
        <v>6.74</v>
      </c>
      <c r="Y66" s="628">
        <f t="shared" ref="Y66:Z66" si="137">Y22</f>
        <v>7005983.7000000002</v>
      </c>
      <c r="Z66" s="688">
        <f t="shared" si="137"/>
        <v>6.74</v>
      </c>
      <c r="AA66" s="628">
        <f t="shared" ref="AA66:AB66" si="138">AA22</f>
        <v>7005983.7000000002</v>
      </c>
      <c r="AB66" s="688">
        <f t="shared" si="138"/>
        <v>6.75</v>
      </c>
      <c r="AC66" s="628">
        <f t="shared" ref="AC66:AD66" si="139">AC22</f>
        <v>7005983.7000000002</v>
      </c>
      <c r="AD66" s="688">
        <f t="shared" si="139"/>
        <v>6.72</v>
      </c>
      <c r="AE66" s="628">
        <f t="shared" ref="AE66:AH66" si="140">AE22</f>
        <v>7005983.7000000002</v>
      </c>
      <c r="AF66" s="688">
        <f t="shared" si="140"/>
        <v>6.72</v>
      </c>
      <c r="AG66" s="628">
        <f t="shared" si="140"/>
        <v>7005983.7000000002</v>
      </c>
      <c r="AH66" s="688">
        <f t="shared" si="140"/>
        <v>6.72</v>
      </c>
      <c r="AI66" s="628">
        <f t="shared" ref="AI66:AJ66" si="141">AI22</f>
        <v>7005983.7000000002</v>
      </c>
      <c r="AJ66" s="688">
        <f t="shared" si="141"/>
        <v>6.72</v>
      </c>
      <c r="AK66" s="628">
        <f t="shared" ref="AK66:AL66" si="142">AK22</f>
        <v>7005983.7000000002</v>
      </c>
      <c r="AL66" s="688">
        <f t="shared" si="142"/>
        <v>6.72</v>
      </c>
      <c r="AM66" s="628">
        <f t="shared" ref="AM66:AN66" si="143">AM22</f>
        <v>7005983.7000000002</v>
      </c>
      <c r="AN66" s="688">
        <f t="shared" si="143"/>
        <v>6.71</v>
      </c>
      <c r="AO66" s="628">
        <f t="shared" ref="AO66:AP66" si="144">AO22</f>
        <v>7005983.7000000002</v>
      </c>
      <c r="AP66" s="688">
        <f t="shared" si="144"/>
        <v>6.72</v>
      </c>
      <c r="AQ66" s="628">
        <f t="shared" ref="AQ66:AR66" si="145">AQ22</f>
        <v>7005983.7000000002</v>
      </c>
      <c r="AR66" s="688">
        <f t="shared" si="145"/>
        <v>6.72</v>
      </c>
      <c r="AS66" s="628">
        <f t="shared" ref="AS66:AT66" si="146">AS22</f>
        <v>7005983.7000000002</v>
      </c>
      <c r="AT66" s="688">
        <f t="shared" si="146"/>
        <v>6.71</v>
      </c>
      <c r="AU66" s="628">
        <f t="shared" ref="AU66:AV66" si="147">AU22</f>
        <v>7005983.7000000002</v>
      </c>
      <c r="AV66" s="688">
        <f t="shared" si="147"/>
        <v>6.7</v>
      </c>
    </row>
    <row r="67" spans="1:48">
      <c r="B67" s="145" t="s">
        <v>122</v>
      </c>
      <c r="C67" s="628"/>
      <c r="D67" s="687">
        <f>D18</f>
        <v>1.64</v>
      </c>
      <c r="E67" s="628"/>
      <c r="F67" s="687">
        <f>F18</f>
        <v>1.64</v>
      </c>
      <c r="G67" s="628"/>
      <c r="H67" s="687">
        <f>H18</f>
        <v>1.64</v>
      </c>
      <c r="I67" s="628"/>
      <c r="J67" s="687">
        <f>J18</f>
        <v>1.64</v>
      </c>
      <c r="K67" s="628"/>
      <c r="L67" s="687">
        <f>L18</f>
        <v>1.64</v>
      </c>
      <c r="M67" s="628"/>
      <c r="N67" s="687">
        <f>N18</f>
        <v>1.64</v>
      </c>
      <c r="O67" s="628"/>
      <c r="P67" s="687">
        <f>P18</f>
        <v>1.64</v>
      </c>
      <c r="Q67" s="628"/>
      <c r="R67" s="687">
        <f>R18</f>
        <v>1.64</v>
      </c>
      <c r="S67" s="628"/>
      <c r="T67" s="687">
        <f>T18</f>
        <v>1.64</v>
      </c>
      <c r="U67" s="628"/>
      <c r="V67" s="687">
        <f>V18</f>
        <v>1.64</v>
      </c>
      <c r="W67" s="628"/>
      <c r="X67" s="687">
        <f>X18</f>
        <v>1.64</v>
      </c>
      <c r="Y67" s="628"/>
      <c r="Z67" s="687">
        <f>Z18</f>
        <v>1.64</v>
      </c>
      <c r="AA67" s="628"/>
      <c r="AB67" s="687">
        <f>AB18</f>
        <v>1.64</v>
      </c>
      <c r="AC67" s="628"/>
      <c r="AD67" s="687">
        <f>AD18</f>
        <v>1.64</v>
      </c>
      <c r="AE67" s="628"/>
      <c r="AF67" s="687">
        <f>AF18</f>
        <v>1.64</v>
      </c>
      <c r="AG67" s="628"/>
      <c r="AH67" s="687">
        <f>AH18</f>
        <v>1.64</v>
      </c>
      <c r="AI67" s="628"/>
      <c r="AJ67" s="687">
        <f>AJ18</f>
        <v>1.63</v>
      </c>
      <c r="AK67" s="628"/>
      <c r="AL67" s="687">
        <f>AL18</f>
        <v>1.64</v>
      </c>
      <c r="AM67" s="628"/>
      <c r="AN67" s="687">
        <f>AN18</f>
        <v>1.64</v>
      </c>
      <c r="AO67" s="628"/>
      <c r="AP67" s="687">
        <f>AP18</f>
        <v>1.64</v>
      </c>
      <c r="AQ67" s="628"/>
      <c r="AR67" s="687">
        <f>AR18</f>
        <v>1.64</v>
      </c>
      <c r="AS67" s="628"/>
      <c r="AT67" s="687">
        <f>AT18</f>
        <v>1.63</v>
      </c>
      <c r="AU67" s="628"/>
      <c r="AV67" s="687">
        <f>AV18</f>
        <v>1.63</v>
      </c>
    </row>
    <row r="68" spans="1:48" ht="16.5" thickBot="1">
      <c r="A68" s="1037"/>
      <c r="B68" s="1038"/>
      <c r="C68" s="629">
        <f t="shared" ref="C68:D68" si="148">C63</f>
        <v>4882024.4200000009</v>
      </c>
      <c r="D68" s="690">
        <f t="shared" si="148"/>
        <v>4.6999999999999993</v>
      </c>
      <c r="E68" s="629">
        <f t="shared" ref="E68:F68" si="149">E63</f>
        <v>4884152.790000001</v>
      </c>
      <c r="F68" s="690">
        <f t="shared" si="149"/>
        <v>4.6999999999999993</v>
      </c>
      <c r="G68" s="629">
        <f t="shared" ref="G68:H68" si="150">G63</f>
        <v>4890628.9200000009</v>
      </c>
      <c r="H68" s="690">
        <f t="shared" si="150"/>
        <v>4.6899999999999986</v>
      </c>
      <c r="I68" s="629">
        <f t="shared" ref="I68:J68" si="151">I63</f>
        <v>4893734.8499999996</v>
      </c>
      <c r="J68" s="690">
        <f t="shared" si="151"/>
        <v>4.7099999999999982</v>
      </c>
      <c r="K68" s="629">
        <f t="shared" ref="K68:L68" si="152">K63</f>
        <v>4894346.1600000011</v>
      </c>
      <c r="L68" s="690">
        <f t="shared" si="152"/>
        <v>4.719999999999998</v>
      </c>
      <c r="M68" s="629">
        <f t="shared" ref="M68:N68" si="153">M63</f>
        <v>4893422.4700000007</v>
      </c>
      <c r="N68" s="690">
        <f t="shared" si="153"/>
        <v>4.7099999999999982</v>
      </c>
      <c r="O68" s="629">
        <f t="shared" ref="O68:P68" si="154">O63</f>
        <v>4895514.0600000015</v>
      </c>
      <c r="P68" s="690">
        <f t="shared" si="154"/>
        <v>4.7099999999999982</v>
      </c>
      <c r="Q68" s="629">
        <f t="shared" ref="Q68:R68" si="155">Q63</f>
        <v>4901788.8099999996</v>
      </c>
      <c r="R68" s="690">
        <f t="shared" si="155"/>
        <v>4.7099999999999991</v>
      </c>
      <c r="S68" s="629">
        <f t="shared" ref="S68:T68" si="156">S63</f>
        <v>4903880.3900000006</v>
      </c>
      <c r="T68" s="690">
        <f t="shared" si="156"/>
        <v>4.7199999999999989</v>
      </c>
      <c r="U68" s="629">
        <f t="shared" ref="U68:V68" si="157">U63</f>
        <v>4899869.5999999987</v>
      </c>
      <c r="V68" s="690">
        <f t="shared" si="157"/>
        <v>4.7299999999999986</v>
      </c>
      <c r="W68" s="629">
        <f t="shared" ref="W68:X68" si="158">W63</f>
        <v>4901952.9899999993</v>
      </c>
      <c r="X68" s="690">
        <f t="shared" si="158"/>
        <v>4.7199999999999989</v>
      </c>
      <c r="Y68" s="629">
        <f t="shared" ref="Y68:Z68" si="159">Y63</f>
        <v>4904036.3899999997</v>
      </c>
      <c r="Z68" s="690">
        <f t="shared" si="159"/>
        <v>4.7299999999999995</v>
      </c>
      <c r="AA68" s="629">
        <f t="shared" ref="AA68:AB68" si="160">AA63</f>
        <v>4882918.3400000008</v>
      </c>
      <c r="AB68" s="690">
        <f t="shared" si="160"/>
        <v>4.68</v>
      </c>
      <c r="AC68" s="629">
        <f t="shared" ref="AC68:AD68" si="161">AC63</f>
        <v>5007804.67</v>
      </c>
      <c r="AD68" s="690">
        <f t="shared" si="161"/>
        <v>4.8</v>
      </c>
      <c r="AE68" s="629">
        <f t="shared" ref="AE68:AH68" si="162">AE63</f>
        <v>5009888.0600000005</v>
      </c>
      <c r="AF68" s="690">
        <f t="shared" si="162"/>
        <v>4.8099999999999996</v>
      </c>
      <c r="AG68" s="629">
        <f t="shared" si="162"/>
        <v>5011971.4700000007</v>
      </c>
      <c r="AH68" s="690">
        <f t="shared" si="162"/>
        <v>4.8099999999999996</v>
      </c>
      <c r="AI68" s="629">
        <f t="shared" ref="AI68:AJ68" si="163">AI63</f>
        <v>4891251.97</v>
      </c>
      <c r="AJ68" s="690">
        <f t="shared" si="163"/>
        <v>4.6999999999999993</v>
      </c>
      <c r="AK68" s="629">
        <f t="shared" ref="AK68:AL68" si="164">AK63</f>
        <v>4897502.18</v>
      </c>
      <c r="AL68" s="690">
        <f t="shared" si="164"/>
        <v>4.7</v>
      </c>
      <c r="AM68" s="629">
        <f t="shared" ref="AM68:AN68" si="165">AM63</f>
        <v>4895255.8</v>
      </c>
      <c r="AN68" s="690">
        <f t="shared" si="165"/>
        <v>4.6900000000000004</v>
      </c>
      <c r="AO68" s="629">
        <f t="shared" ref="AO68:AP68" si="166">AO63</f>
        <v>4897358.28</v>
      </c>
      <c r="AP68" s="690">
        <f t="shared" si="166"/>
        <v>4.7</v>
      </c>
      <c r="AQ68" s="629">
        <f t="shared" ref="AQ68:AR68" si="167">AQ63</f>
        <v>4899505.7399999993</v>
      </c>
      <c r="AR68" s="690">
        <f t="shared" si="167"/>
        <v>4.6900000000000004</v>
      </c>
      <c r="AS68" s="629">
        <f t="shared" ref="AS68:AT68" si="168">AS63</f>
        <v>4804976.5699999984</v>
      </c>
      <c r="AT68" s="690">
        <f t="shared" si="168"/>
        <v>4.6000000000000005</v>
      </c>
      <c r="AU68" s="629">
        <f t="shared" ref="AU68:AV68" si="169">AU63</f>
        <v>4883134.07</v>
      </c>
      <c r="AV68" s="690">
        <f t="shared" si="169"/>
        <v>4.67</v>
      </c>
    </row>
    <row r="69" spans="1:48" ht="16.5" thickBot="1">
      <c r="A69" s="151"/>
      <c r="B69" s="152" t="s">
        <v>111</v>
      </c>
      <c r="C69" s="416">
        <f t="shared" ref="C69:D69" si="170">SUM(C64:C68)</f>
        <v>104028934.72</v>
      </c>
      <c r="D69" s="691">
        <f t="shared" si="170"/>
        <v>100.01</v>
      </c>
      <c r="E69" s="416">
        <f t="shared" ref="E69:F69" si="171">SUM(E64:E68)</f>
        <v>103899353.72000001</v>
      </c>
      <c r="F69" s="691">
        <f t="shared" si="171"/>
        <v>99.990000000000009</v>
      </c>
      <c r="G69" s="416">
        <f t="shared" ref="G69:H69" si="172">SUM(G64:G68)</f>
        <v>104149004.08000001</v>
      </c>
      <c r="H69" s="691">
        <f t="shared" si="172"/>
        <v>100</v>
      </c>
      <c r="I69" s="416">
        <f t="shared" ref="I69:J69" si="173">SUM(I64:I68)</f>
        <v>103918868.03</v>
      </c>
      <c r="J69" s="691">
        <f t="shared" si="173"/>
        <v>99.999999999999986</v>
      </c>
      <c r="K69" s="416">
        <f t="shared" ref="K69:L69" si="174">SUM(K64:K68)</f>
        <v>103679937.73999999</v>
      </c>
      <c r="L69" s="691">
        <f t="shared" si="174"/>
        <v>99.990000000000009</v>
      </c>
      <c r="M69" s="416">
        <f t="shared" ref="M69:N69" si="175">SUM(M64:M68)</f>
        <v>103946404.85000001</v>
      </c>
      <c r="N69" s="691">
        <f t="shared" si="175"/>
        <v>100.00999999999999</v>
      </c>
      <c r="O69" s="416">
        <f t="shared" ref="O69:P69" si="176">SUM(O64:O68)</f>
        <v>104012758.55</v>
      </c>
      <c r="P69" s="691">
        <f t="shared" si="176"/>
        <v>100.00999999999998</v>
      </c>
      <c r="Q69" s="416">
        <f t="shared" ref="Q69:R69" si="177">SUM(Q64:Q68)</f>
        <v>104062871.65000002</v>
      </c>
      <c r="R69" s="691">
        <f t="shared" si="177"/>
        <v>99.999999999999986</v>
      </c>
      <c r="S69" s="416">
        <f t="shared" ref="S69:T69" si="178">SUM(S64:S68)</f>
        <v>103981059.92</v>
      </c>
      <c r="T69" s="691">
        <f t="shared" si="178"/>
        <v>100</v>
      </c>
      <c r="U69" s="416">
        <f t="shared" ref="U69:V69" si="179">SUM(U64:U68)</f>
        <v>103715564.4153</v>
      </c>
      <c r="V69" s="691">
        <f t="shared" si="179"/>
        <v>100.00000000000001</v>
      </c>
      <c r="W69" s="416">
        <f t="shared" ref="W69:X69" si="180">SUM(W64:W68)</f>
        <v>103898317.06999999</v>
      </c>
      <c r="X69" s="691">
        <f t="shared" si="180"/>
        <v>100</v>
      </c>
      <c r="Y69" s="416">
        <f t="shared" ref="Y69:Z69" si="181">SUM(Y64:Y68)</f>
        <v>103842811.94000001</v>
      </c>
      <c r="Z69" s="691">
        <f t="shared" si="181"/>
        <v>99.999999999999986</v>
      </c>
      <c r="AA69" s="416">
        <f t="shared" ref="AA69:AB69" si="182">SUM(AA64:AA68)</f>
        <v>103982582.67</v>
      </c>
      <c r="AB69" s="691">
        <f t="shared" si="182"/>
        <v>100</v>
      </c>
      <c r="AC69" s="416">
        <f t="shared" ref="AC69:AD69" si="183">SUM(AC64:AC68)</f>
        <v>104199969.90000001</v>
      </c>
      <c r="AD69" s="691">
        <f t="shared" si="183"/>
        <v>100</v>
      </c>
      <c r="AE69" s="416">
        <f t="shared" ref="AE69:AF69" si="184">SUM(AE64:AE68)</f>
        <v>104272088.7</v>
      </c>
      <c r="AF69" s="691">
        <f t="shared" si="184"/>
        <v>100.00999999999999</v>
      </c>
      <c r="AG69" s="416">
        <f t="shared" ref="AG69:AH69" si="185">SUM(AG64:AG68)</f>
        <v>104234613.45</v>
      </c>
      <c r="AH69" s="691">
        <f t="shared" si="185"/>
        <v>100.00000000000001</v>
      </c>
      <c r="AI69" s="416">
        <f t="shared" ref="AI69:AJ69" si="186">SUM(AI64:AI68)</f>
        <v>104260401.31000002</v>
      </c>
      <c r="AJ69" s="691">
        <f t="shared" si="186"/>
        <v>100</v>
      </c>
      <c r="AK69" s="416">
        <f t="shared" ref="AK69:AL69" si="187">SUM(AK64:AK68)</f>
        <v>104181453.66</v>
      </c>
      <c r="AL69" s="691">
        <f t="shared" si="187"/>
        <v>100</v>
      </c>
      <c r="AM69" s="416">
        <f t="shared" ref="AM69:AN69" si="188">SUM(AM64:AM68)</f>
        <v>104348077.8</v>
      </c>
      <c r="AN69" s="691">
        <f t="shared" si="188"/>
        <v>99.999999999999986</v>
      </c>
      <c r="AO69" s="416">
        <f t="shared" ref="AO69:AP69" si="189">SUM(AO64:AO68)</f>
        <v>104241893.88000001</v>
      </c>
      <c r="AP69" s="416">
        <f t="shared" si="189"/>
        <v>100</v>
      </c>
      <c r="AQ69" s="416">
        <f t="shared" ref="AQ69:AR69" si="190">SUM(AQ64:AQ68)</f>
        <v>104313451.23</v>
      </c>
      <c r="AR69" s="416">
        <f t="shared" si="190"/>
        <v>99.999999999999986</v>
      </c>
      <c r="AS69" s="416">
        <f t="shared" ref="AS69:AT69" si="191">SUM(AS64:AS68)</f>
        <v>104475265.06</v>
      </c>
      <c r="AT69" s="416">
        <f t="shared" si="191"/>
        <v>99.999999999999986</v>
      </c>
      <c r="AU69" s="416">
        <f t="shared" ref="AU69:AV69" si="192">SUM(AU64:AU68)</f>
        <v>104604491.31</v>
      </c>
      <c r="AV69" s="416">
        <f t="shared" si="192"/>
        <v>100</v>
      </c>
    </row>
  </sheetData>
  <mergeCells count="40">
    <mergeCell ref="AM1:AN1"/>
    <mergeCell ref="AK1:AL1"/>
    <mergeCell ref="Y1:Z1"/>
    <mergeCell ref="Q1:R1"/>
    <mergeCell ref="S1:T1"/>
    <mergeCell ref="U1:V1"/>
    <mergeCell ref="AG1:AH1"/>
    <mergeCell ref="AI1:AJ1"/>
    <mergeCell ref="W1:X1"/>
    <mergeCell ref="AA1:AB1"/>
    <mergeCell ref="AC1:AD1"/>
    <mergeCell ref="AE1:AF1"/>
    <mergeCell ref="K1:L1"/>
    <mergeCell ref="M1:N1"/>
    <mergeCell ref="O1:P1"/>
    <mergeCell ref="A68:B68"/>
    <mergeCell ref="A54:B54"/>
    <mergeCell ref="A55:B55"/>
    <mergeCell ref="A56:B56"/>
    <mergeCell ref="A57:B57"/>
    <mergeCell ref="A58:B58"/>
    <mergeCell ref="A59:B59"/>
    <mergeCell ref="A62:B62"/>
    <mergeCell ref="A63:B63"/>
    <mergeCell ref="AS1:AT1"/>
    <mergeCell ref="AU1:AV1"/>
    <mergeCell ref="AQ1:AR1"/>
    <mergeCell ref="A49:B49"/>
    <mergeCell ref="C1:D1"/>
    <mergeCell ref="A22:B22"/>
    <mergeCell ref="A32:B32"/>
    <mergeCell ref="A33:B33"/>
    <mergeCell ref="A9:B9"/>
    <mergeCell ref="A15:B15"/>
    <mergeCell ref="A34:B34"/>
    <mergeCell ref="A18:B18"/>
    <mergeCell ref="AO1:AP1"/>
    <mergeCell ref="G1:H1"/>
    <mergeCell ref="I1:J1"/>
    <mergeCell ref="E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январь23</vt:lpstr>
      <vt:lpstr>февраль23</vt:lpstr>
      <vt:lpstr>март23</vt:lpstr>
      <vt:lpstr>січень 2025</vt:lpstr>
      <vt:lpstr>лютий2025</vt:lpstr>
      <vt:lpstr>березень2025</vt:lpstr>
      <vt:lpstr>квітень 2025</vt:lpstr>
      <vt:lpstr>травень 2025</vt:lpstr>
      <vt:lpstr>червень 2025</vt:lpstr>
      <vt:lpstr>липень2025</vt:lpstr>
      <vt:lpstr>серпень2025</vt:lpstr>
      <vt:lpstr>вересень2025</vt:lpstr>
      <vt:lpstr>жовтень 2025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Luchna</dc:creator>
  <cp:lastModifiedBy>Luchna</cp:lastModifiedBy>
  <dcterms:created xsi:type="dcterms:W3CDTF">2023-01-04T12:20:17Z</dcterms:created>
  <dcterms:modified xsi:type="dcterms:W3CDTF">2025-11-04T12:32:10Z</dcterms:modified>
</cp:coreProperties>
</file>